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E33032B-F9C0-440E-A07B-F0094145FC13}" xr6:coauthVersionLast="47" xr6:coauthVersionMax="47" xr10:uidLastSave="{00000000-0000-0000-0000-000000000000}"/>
  <bookViews>
    <workbookView xWindow="-108" yWindow="-108" windowWidth="23256" windowHeight="12576" tabRatio="916" xr2:uid="{00000000-000D-0000-FFFF-FFFF00000000}"/>
  </bookViews>
  <sheets>
    <sheet name="კრებსითი" sheetId="16" r:id="rId1"/>
    <sheet name="0 სართული" sheetId="9" r:id="rId2"/>
    <sheet name="I სართული" sheetId="10" r:id="rId3"/>
    <sheet name="IIსართული" sheetId="11" r:id="rId4"/>
    <sheet name="IIIსართული" sheetId="12" r:id="rId5"/>
    <sheet name="IVსართული" sheetId="13" r:id="rId6"/>
    <sheet name="Vსართული" sheetId="14" r:id="rId7"/>
    <sheet name="კიბის უჯრედები" sheetId="15" r:id="rId8"/>
    <sheet name="ვერანდის მოწყობა" sheetId="17" r:id="rId9"/>
    <sheet name="ბოქსირებული პალატა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17" l="1"/>
  <c r="D81" i="17"/>
  <c r="D78" i="17"/>
  <c r="D76" i="17"/>
  <c r="D72" i="17"/>
  <c r="D57" i="17"/>
  <c r="D54" i="17"/>
  <c r="D56" i="17" s="1"/>
  <c r="D52" i="17"/>
  <c r="D50" i="17"/>
  <c r="D49" i="17"/>
  <c r="D45" i="17"/>
  <c r="D43" i="17"/>
  <c r="D38" i="17"/>
  <c r="D36" i="17"/>
  <c r="D35" i="17"/>
  <c r="D34" i="17"/>
  <c r="D33" i="17"/>
  <c r="D32" i="17"/>
  <c r="D30" i="17"/>
  <c r="D29" i="17"/>
  <c r="D28" i="17"/>
  <c r="D27" i="17"/>
  <c r="D26" i="17"/>
  <c r="D24" i="17"/>
  <c r="D23" i="17"/>
  <c r="D22" i="17"/>
  <c r="D18" i="17"/>
  <c r="D17" i="17"/>
  <c r="D16" i="17"/>
  <c r="D15" i="17"/>
  <c r="D11" i="17"/>
  <c r="D58" i="17" l="1"/>
  <c r="D53" i="17"/>
  <c r="D61" i="17"/>
  <c r="D41" i="17"/>
  <c r="D55" i="17"/>
  <c r="D60" i="17"/>
  <c r="D62" i="17"/>
  <c r="D59" i="17"/>
  <c r="D47" i="18"/>
  <c r="D46" i="18"/>
  <c r="D45" i="18"/>
  <c r="D44" i="18"/>
  <c r="D43" i="18"/>
  <c r="D42" i="18"/>
  <c r="D36" i="18"/>
  <c r="D35" i="18"/>
  <c r="D34" i="18"/>
  <c r="D33" i="18"/>
  <c r="D32" i="18"/>
  <c r="D31" i="18"/>
  <c r="D26" i="18"/>
  <c r="D25" i="18"/>
  <c r="D24" i="18"/>
  <c r="D23" i="18"/>
  <c r="D22" i="18"/>
  <c r="F100" i="17" l="1"/>
  <c r="K101" i="17" s="1"/>
  <c r="H100" i="17"/>
  <c r="K108" i="17" s="1"/>
  <c r="D28" i="18"/>
  <c r="J100" i="17" l="1"/>
  <c r="H67" i="18"/>
  <c r="K74" i="18" s="1"/>
  <c r="F67" i="18"/>
  <c r="K68" i="18" s="1"/>
  <c r="K100" i="17" l="1"/>
  <c r="K102" i="17" s="1"/>
  <c r="K103" i="17" s="1"/>
  <c r="K104" i="17" s="1"/>
  <c r="K67" i="18"/>
  <c r="K69" i="18" s="1"/>
  <c r="K70" i="18" s="1"/>
  <c r="K71" i="18" s="1"/>
  <c r="K72" i="18" s="1"/>
  <c r="K73" i="18" s="1"/>
  <c r="K75" i="18" s="1"/>
  <c r="K76" i="18" s="1"/>
  <c r="K77" i="18" s="1"/>
  <c r="D16" i="16" s="1"/>
  <c r="J67" i="18"/>
  <c r="K105" i="17" l="1"/>
  <c r="K106" i="17" s="1"/>
  <c r="K107" i="17" s="1"/>
  <c r="K109" i="17" s="1"/>
  <c r="K110" i="17" s="1"/>
  <c r="K111" i="17" s="1"/>
  <c r="J8" i="18"/>
  <c r="I4" i="17" l="1"/>
  <c r="D15" i="16"/>
  <c r="D108" i="10" l="1"/>
  <c r="D15" i="14" l="1"/>
  <c r="D13" i="14"/>
  <c r="D12" i="14"/>
  <c r="D11" i="14"/>
  <c r="D10" i="14"/>
  <c r="D24" i="13" l="1"/>
  <c r="D22" i="13"/>
  <c r="D21" i="13"/>
  <c r="D20" i="13"/>
  <c r="D18" i="13"/>
  <c r="D17" i="13"/>
  <c r="D15" i="13"/>
  <c r="D13" i="13"/>
  <c r="D12" i="13"/>
  <c r="D11" i="13"/>
  <c r="D10" i="13"/>
  <c r="D24" i="12"/>
  <c r="D22" i="12"/>
  <c r="D21" i="12"/>
  <c r="D20" i="12"/>
  <c r="D18" i="12"/>
  <c r="D17" i="12"/>
  <c r="D15" i="12"/>
  <c r="D14" i="12"/>
  <c r="D12" i="12"/>
  <c r="D11" i="12"/>
  <c r="D10" i="12"/>
  <c r="D99" i="10"/>
  <c r="D24" i="11" l="1"/>
  <c r="D23" i="11"/>
  <c r="D21" i="11"/>
  <c r="D20" i="11"/>
  <c r="D18" i="11"/>
  <c r="D17" i="11"/>
  <c r="D15" i="11"/>
  <c r="D14" i="11"/>
  <c r="D12" i="11"/>
  <c r="D11" i="11"/>
  <c r="D10" i="11"/>
  <c r="J25" i="13" l="1"/>
  <c r="F25" i="13"/>
  <c r="K26" i="13" s="1"/>
  <c r="F25" i="12"/>
  <c r="K26" i="12" s="1"/>
  <c r="J25" i="12"/>
  <c r="D20" i="15"/>
  <c r="D23" i="15" s="1"/>
  <c r="D19" i="15"/>
  <c r="D17" i="15"/>
  <c r="D16" i="15"/>
  <c r="D14" i="15"/>
  <c r="D13" i="15"/>
  <c r="D11" i="15"/>
  <c r="D10" i="15"/>
  <c r="D9" i="15"/>
  <c r="D71" i="10"/>
  <c r="D70" i="10"/>
  <c r="D69" i="10"/>
  <c r="D106" i="10"/>
  <c r="D105" i="10"/>
  <c r="D104" i="10"/>
  <c r="D101" i="10"/>
  <c r="D103" i="10"/>
  <c r="D98" i="10"/>
  <c r="D96" i="10"/>
  <c r="D94" i="10"/>
  <c r="D93" i="10"/>
  <c r="D92" i="10"/>
  <c r="D90" i="10"/>
  <c r="D89" i="10"/>
  <c r="D87" i="10"/>
  <c r="D86" i="10"/>
  <c r="D85" i="10"/>
  <c r="D83" i="10"/>
  <c r="D82" i="10"/>
  <c r="D81" i="10"/>
  <c r="D80" i="10"/>
  <c r="D79" i="10"/>
  <c r="D73" i="10"/>
  <c r="D67" i="10"/>
  <c r="D66" i="10"/>
  <c r="D65" i="10"/>
  <c r="D64" i="10"/>
  <c r="D58" i="10"/>
  <c r="D57" i="10"/>
  <c r="D56" i="10"/>
  <c r="D55" i="10"/>
  <c r="D54" i="10"/>
  <c r="D53" i="10"/>
  <c r="D52" i="10"/>
  <c r="D46" i="10"/>
  <c r="D43" i="10"/>
  <c r="D42" i="10"/>
  <c r="D40" i="10"/>
  <c r="D39" i="10"/>
  <c r="D37" i="10"/>
  <c r="D36" i="10"/>
  <c r="D34" i="10"/>
  <c r="D33" i="10"/>
  <c r="D32" i="10"/>
  <c r="D29" i="10"/>
  <c r="D28" i="10"/>
  <c r="D27" i="10"/>
  <c r="D26" i="10"/>
  <c r="D25" i="10"/>
  <c r="D24" i="10"/>
  <c r="D23" i="10"/>
  <c r="D19" i="10"/>
  <c r="D15" i="10"/>
  <c r="D14" i="10"/>
  <c r="D12" i="10"/>
  <c r="D11" i="10"/>
  <c r="D10" i="10"/>
  <c r="D14" i="9"/>
  <c r="D18" i="9"/>
  <c r="D17" i="9"/>
  <c r="D49" i="10" l="1"/>
  <c r="D25" i="15"/>
  <c r="D22" i="15"/>
  <c r="D21" i="15"/>
  <c r="D50" i="10"/>
  <c r="D102" i="10"/>
  <c r="D76" i="10"/>
  <c r="D74" i="10"/>
  <c r="D47" i="10"/>
  <c r="D48" i="10"/>
  <c r="D18" i="14" l="1"/>
  <c r="D17" i="14"/>
  <c r="F26" i="15" l="1"/>
  <c r="K27" i="15" s="1"/>
  <c r="H26" i="15"/>
  <c r="K34" i="15" s="1"/>
  <c r="J26" i="15"/>
  <c r="K26" i="15"/>
  <c r="J19" i="14"/>
  <c r="F19" i="14"/>
  <c r="K20" i="14" s="1"/>
  <c r="H19" i="14"/>
  <c r="K27" i="14" s="1"/>
  <c r="K25" i="12" l="1"/>
  <c r="K27" i="12" s="1"/>
  <c r="K28" i="12" s="1"/>
  <c r="K29" i="12" s="1"/>
  <c r="K30" i="12" s="1"/>
  <c r="K31" i="12" s="1"/>
  <c r="K32" i="12" s="1"/>
  <c r="H25" i="12"/>
  <c r="K33" i="12" s="1"/>
  <c r="K19" i="14"/>
  <c r="K21" i="14" s="1"/>
  <c r="K22" i="14" s="1"/>
  <c r="K23" i="14" s="1"/>
  <c r="K28" i="15"/>
  <c r="K29" i="15" s="1"/>
  <c r="K30" i="15" s="1"/>
  <c r="K25" i="13" l="1"/>
  <c r="K27" i="13" s="1"/>
  <c r="K28" i="13" s="1"/>
  <c r="K29" i="13" s="1"/>
  <c r="K30" i="13" s="1"/>
  <c r="K31" i="13" s="1"/>
  <c r="K32" i="13" s="1"/>
  <c r="K34" i="12"/>
  <c r="K35" i="12" s="1"/>
  <c r="K36" i="12" s="1"/>
  <c r="D11" i="16" s="1"/>
  <c r="H25" i="13"/>
  <c r="K33" i="13" s="1"/>
  <c r="K31" i="15"/>
  <c r="K32" i="15" s="1"/>
  <c r="K33" i="15" s="1"/>
  <c r="K35" i="15" s="1"/>
  <c r="K36" i="15" s="1"/>
  <c r="K37" i="15" s="1"/>
  <c r="D14" i="16" s="1"/>
  <c r="K24" i="14"/>
  <c r="K25" i="14" s="1"/>
  <c r="K26" i="14" s="1"/>
  <c r="K28" i="14" s="1"/>
  <c r="K29" i="14" s="1"/>
  <c r="K30" i="14" s="1"/>
  <c r="D13" i="16" s="1"/>
  <c r="K34" i="13" l="1"/>
  <c r="K35" i="13" s="1"/>
  <c r="K36" i="13" s="1"/>
  <c r="D12" i="16" s="1"/>
  <c r="I4" i="12"/>
  <c r="I4" i="14"/>
  <c r="I4" i="15"/>
  <c r="D20" i="9"/>
  <c r="D16" i="9"/>
  <c r="D21" i="10"/>
  <c r="D20" i="10"/>
  <c r="D13" i="9"/>
  <c r="D11" i="9"/>
  <c r="D10" i="9"/>
  <c r="I4" i="13" l="1"/>
  <c r="H109" i="10"/>
  <c r="F109" i="10" l="1"/>
  <c r="J109" i="10"/>
  <c r="F25" i="11"/>
  <c r="K26" i="11" s="1"/>
  <c r="H25" i="11"/>
  <c r="K33" i="11" s="1"/>
  <c r="J25" i="11"/>
  <c r="K109" i="10" l="1"/>
  <c r="K25" i="11"/>
  <c r="K27" i="11" s="1"/>
  <c r="K28" i="11" s="1"/>
  <c r="K29" i="11" s="1"/>
  <c r="K110" i="10"/>
  <c r="K117" i="10"/>
  <c r="K30" i="11" l="1"/>
  <c r="K31" i="11" s="1"/>
  <c r="K32" i="11" s="1"/>
  <c r="K34" i="11" s="1"/>
  <c r="K35" i="11" s="1"/>
  <c r="K36" i="11" s="1"/>
  <c r="D10" i="16" s="1"/>
  <c r="K111" i="10"/>
  <c r="I4" i="11" l="1"/>
  <c r="K112" i="10"/>
  <c r="K113" i="10" s="1"/>
  <c r="K114" i="10" l="1"/>
  <c r="K115" i="10" s="1"/>
  <c r="K116" i="10" s="1"/>
  <c r="K118" i="10" s="1"/>
  <c r="K119" i="10" s="1"/>
  <c r="K120" i="10" s="1"/>
  <c r="D9" i="16" s="1"/>
  <c r="I4" i="10" l="1"/>
  <c r="H21" i="9" l="1"/>
  <c r="J21" i="9"/>
  <c r="F21" i="9" l="1"/>
  <c r="K21" i="9" l="1"/>
  <c r="K22" i="9"/>
  <c r="K29" i="9"/>
  <c r="K23" i="9" l="1"/>
  <c r="K24" i="9" s="1"/>
  <c r="K25" i="9" s="1"/>
  <c r="K26" i="9" s="1"/>
  <c r="K27" i="9" s="1"/>
  <c r="K28" i="9" s="1"/>
  <c r="K30" i="9" s="1"/>
  <c r="K31" i="9" s="1"/>
  <c r="K32" i="9" s="1"/>
  <c r="D8" i="16" s="1"/>
  <c r="I4" i="9" l="1"/>
  <c r="D17" i="16"/>
</calcChain>
</file>

<file path=xl/sharedStrings.xml><?xml version="1.0" encoding="utf-8"?>
<sst xmlns="http://schemas.openxmlformats.org/spreadsheetml/2006/main" count="987" uniqueCount="304">
  <si>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</si>
  <si>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</si>
  <si>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</si>
  <si>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</si>
  <si>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</si>
  <si>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</si>
  <si>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</si>
  <si>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</si>
  <si>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</si>
  <si>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მ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</si>
  <si>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</si>
  <si>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</si>
  <si>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</si>
  <si>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</si>
  <si>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</si>
  <si>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</si>
  <si>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</si>
  <si>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</si>
  <si>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</si>
  <si>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</si>
  <si>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</si>
  <si>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r>
      <t>მ</t>
    </r>
    <r>
      <rPr>
        <sz val="10"/>
        <color theme="1"/>
        <rFont val="Cambria"/>
        <family val="1"/>
        <charset val="204"/>
      </rPr>
      <t>²</t>
    </r>
  </si>
  <si>
    <t>კომპლ</t>
  </si>
  <si>
    <t>სახარჯთაღრიცხვო  ღირ-ბა</t>
  </si>
  <si>
    <t>სხვა მასალები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</si>
  <si>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</si>
  <si>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მ³</t>
  </si>
  <si>
    <t>ტნ</t>
  </si>
  <si>
    <t>პროფილები დგარის CV 75*0,5 მმ, მიმმართვ. UD 75*0,5; ხრახნები, გამჭედი დუბელი და სხვა მასალები 1მ² ჭერის მოპირკეთებაზე</t>
  </si>
  <si>
    <t>მდფ-ის კარის ბლოკი  (არსებული დემონტირებული)</t>
  </si>
  <si>
    <t>2</t>
  </si>
  <si>
    <t>თ/მ პოფილი და სხვა მასალები 1მ² შეფუთვაზე</t>
  </si>
  <si>
    <t xml:space="preserve">ლაბორატორიაში მილების შეფუთვა ნესტგამძლე თაბაშირ/მუყაოს ფილებით </t>
  </si>
  <si>
    <t>I სართული</t>
  </si>
  <si>
    <t>ლაბორატორია</t>
  </si>
  <si>
    <t xml:space="preserve">1. კორიდორი </t>
  </si>
  <si>
    <t>2. ცალკეული ოთახები</t>
  </si>
  <si>
    <t>3. ინვიტრო განყოფილება</t>
  </si>
  <si>
    <t xml:space="preserve">   0 სართული</t>
  </si>
  <si>
    <t>II სართული</t>
  </si>
  <si>
    <t xml:space="preserve">კორიდორში კედლების კუთხეებზე დამცავი უჟანგავი ლითონის კუთხოვანების მოწყობა </t>
  </si>
  <si>
    <t>უჟანგავი ლითონის კუთხოვანა</t>
  </si>
  <si>
    <r>
      <t>ლამინირებული "დსპ"  (250 მმ * 12 მმ)  1.05</t>
    </r>
    <r>
      <rPr>
        <sz val="10"/>
        <color theme="1"/>
        <rFont val="Arial"/>
        <family val="2"/>
        <charset val="204"/>
      </rPr>
      <t>×154.0</t>
    </r>
  </si>
  <si>
    <t>III სართული</t>
  </si>
  <si>
    <t>IV სართული</t>
  </si>
  <si>
    <t>V სართული</t>
  </si>
  <si>
    <t>კიბის უჯრედები  (2 ერთეული)</t>
  </si>
  <si>
    <t xml:space="preserve">ემულსიური საღებავი წმენდადი  </t>
  </si>
  <si>
    <t>ფილების სამონტაჟო დეტალები პლასტიკატის</t>
  </si>
  <si>
    <t>კომპ</t>
  </si>
  <si>
    <t xml:space="preserve">ფითხი    </t>
  </si>
  <si>
    <t xml:space="preserve">გრუნტი </t>
  </si>
  <si>
    <t xml:space="preserve">ზუმფარა     </t>
  </si>
  <si>
    <t xml:space="preserve">სამღებრო ბადე ლენტა </t>
  </si>
  <si>
    <t xml:space="preserve">სამღებრო კუთხოვანა  </t>
  </si>
  <si>
    <t xml:space="preserve">სხვა მასალები </t>
  </si>
  <si>
    <t xml:space="preserve">ფითხი   </t>
  </si>
  <si>
    <t xml:space="preserve">სამღებრო ბადე ლენტა  </t>
  </si>
  <si>
    <t xml:space="preserve">სხვა მასალები    </t>
  </si>
  <si>
    <t xml:space="preserve">მანქანები   </t>
  </si>
  <si>
    <t xml:space="preserve">კაფელის ფილა        </t>
  </si>
  <si>
    <t xml:space="preserve">წებოცემენტი                 </t>
  </si>
  <si>
    <t xml:space="preserve">ფუგა                </t>
  </si>
  <si>
    <t>კრებსითი</t>
  </si>
  <si>
    <t>კიბის უჯრედები</t>
  </si>
  <si>
    <t>ხარჯ-ის №</t>
  </si>
  <si>
    <t>ღირებულება</t>
  </si>
  <si>
    <t>დასახელება</t>
  </si>
  <si>
    <t>№1</t>
  </si>
  <si>
    <t>№2</t>
  </si>
  <si>
    <t>№3</t>
  </si>
  <si>
    <t>№4</t>
  </si>
  <si>
    <t>№5</t>
  </si>
  <si>
    <t>№6</t>
  </si>
  <si>
    <t>№7</t>
  </si>
  <si>
    <t>ინვიტრო განყოფილების მიმღების ოთახებში მეტალოპლასტმასის კარის ბლოკების დემონტაჟი (1.1 x 2.1)მ- 2ცალი</t>
  </si>
  <si>
    <t>კარის ღიობების შევსება  თაბაშირ მუყაოს ფილებით იზოლაციით</t>
  </si>
  <si>
    <t>თაბაშირ მუყაოს ზედაპირის  დამუშავება და შეღებვა ემულსიური  წმენდადი საღებავით</t>
  </si>
  <si>
    <t xml:space="preserve">თაბ.მუყ. ფილა  სისქე 12.5მმ    </t>
  </si>
  <si>
    <t xml:space="preserve">თაბ.მუყ. ფილა   სისქე 12.5მმ   </t>
  </si>
  <si>
    <t xml:space="preserve">ინვიტრო განყოფილების კორიდორში  (1.3 x 2.15)მ - 2ც;  (1.1 x 2.15)მ - 1ც  და ტუალეტში - (1.1 x 2.15)მ - 1ც    მ/პლასტმასის კარის ბლოკების დემონტაჟი </t>
  </si>
  <si>
    <t xml:space="preserve">არსებული დემონტირებული მტ/პლასტმასის კარის ბლოკების მონტაჟი:   პალატაში-(1.3x2.15)მ -1ც;  ტუალეტში (1.1 x 2.15)მ - 1ც                       </t>
  </si>
  <si>
    <t xml:space="preserve">ტიხრების მოწყობა  თაბაშირ მუყაოს ფილებით იზოლაციით  (მათ შორის ტუალეტის კარის (1.1 x 2.15)მ-1ც ღიობის შევსება) </t>
  </si>
  <si>
    <t>თაბაშირ მუყაოს ტიხრების დემონტაჟი (მათ შორის ტუალეტის კარის ღიობის გამოჭრა (1.1 x 2.15)მ-1ც)</t>
  </si>
  <si>
    <t>ორფრთიანი შემინული გასაწევი (გორგოლაჭებზე) კარის ბლოკის მოწყობა კორიდორში  (1.3 x 3.0) მ</t>
  </si>
  <si>
    <t xml:space="preserve">კორიდორის კარის თავზე  კონდიციონერის დემონტაჟი და გამოტანა  BTU9000 </t>
  </si>
  <si>
    <t xml:space="preserve">კორიდორის კარის თავზე  სუსტი დენების გამანაწილებელი ყუთის დემონტაჟი,  გადატანა და მონტაჟი </t>
  </si>
  <si>
    <t>ვინილი სამედიცინო დანიშნ.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</si>
  <si>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</si>
  <si>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</si>
  <si>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</si>
  <si>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</si>
  <si>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>შეკიდული ჭერის მოწყობა შევსება თაბაშირ მუყაოს ფილებით  დემონტირებული ტიხრების ადგილზე</t>
  </si>
  <si>
    <t xml:space="preserve">თაბ.მუყ. ფილა    სისქე 12.5 მმ   </t>
  </si>
  <si>
    <t xml:space="preserve">კორიდორში და ფოიეებში კედლების კუთხეებზე დამცავი უჟანგავი ლითონის კუთხოვანების მოწყობა </t>
  </si>
  <si>
    <t>კორიდორებში კედლებზე ბამპერების მოწყობა</t>
  </si>
  <si>
    <t>თ/მუყაოს ზედაპირის   დამუშავება და შეღებვა ემულსიური  წმენდადი საღებავით</t>
  </si>
  <si>
    <t xml:space="preserve">თაბ.მუყ. ნესტგამძლე სისქე 12.5მმ                           </t>
  </si>
  <si>
    <t>იატაკზე ვინილის საფარის აღდგენა (ადგილ-ადგილ) დაზიანებული ადგილების ამოჭრით და  ახალ ტიხრებზე პლინტუსის მოწყობით</t>
  </si>
  <si>
    <t>სამშენებლო ნარჩენების შეგროვება-დატვირთვა ა/მ-ზე</t>
  </si>
  <si>
    <t>სამშენებლო ნარჩენების ტრანსპორტირება 20 კმ-ზე</t>
  </si>
  <si>
    <t>ქაფი 400გრ</t>
  </si>
  <si>
    <t>სამღებრო  წებვადი ლენტი (ქაღალდის სკოჩი)  50.0მ</t>
  </si>
  <si>
    <r>
      <t>თბილისი, ლუბლიანას N 48.     კლინიკა</t>
    </r>
    <r>
      <rPr>
        <b/>
        <sz val="10"/>
        <color theme="1"/>
        <rFont val="Sylfaen"/>
        <family val="1"/>
        <charset val="204"/>
      </rPr>
      <t xml:space="preserve">   კარაპს მედლაინი</t>
    </r>
    <r>
      <rPr>
        <sz val="10"/>
        <color theme="1"/>
        <rFont val="Sylfaen"/>
        <family val="1"/>
        <charset val="204"/>
      </rPr>
      <t xml:space="preserve"> </t>
    </r>
  </si>
  <si>
    <t xml:space="preserve">კლინიკა კარაპს მედლაინის შენობაში ჩასატარებელი  სამუშაოების ხარჯთაღრიცხვა  </t>
  </si>
  <si>
    <r>
      <t xml:space="preserve">თბილისი, ლუბლიანას N 48.     </t>
    </r>
    <r>
      <rPr>
        <b/>
        <sz val="11"/>
        <color theme="1"/>
        <rFont val="Sylfaen"/>
        <family val="1"/>
        <charset val="204"/>
      </rPr>
      <t xml:space="preserve">კლინიკა კარაპს მედლაინი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</si>
  <si>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№1  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</si>
  <si>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№2  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</si>
  <si>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№3  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</si>
  <si>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№4  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</si>
  <si>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№5 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</si>
  <si>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№6                                                                                     </t>
    </r>
  </si>
  <si>
    <r>
      <t>კლინიკა კარაპს მედლაინის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№7                                                                                       </t>
    </r>
  </si>
  <si>
    <t>საიზოლაციო მასალა  ქვამბა 50 მმ</t>
  </si>
  <si>
    <t xml:space="preserve">კედლებზე კაფელის გაკვრა ტუალეტში თ/მუყაოს ფილებით შევსებულ კარის ღიობზე  </t>
  </si>
  <si>
    <t xml:space="preserve">ოფისი </t>
  </si>
  <si>
    <t>I სართული (კორიდორი, ოფისის ოთახები, ინვიტრო განყოფილება)</t>
  </si>
  <si>
    <t>II სართული (კორიდორი და ფოიეები)</t>
  </si>
  <si>
    <t>III სართული  (კორიდორი და ფოიეები)</t>
  </si>
  <si>
    <t>IV სართული  (კორიდორი და ფოიეები)</t>
  </si>
  <si>
    <t>V სართული  (კორიდორები)</t>
  </si>
  <si>
    <t>0 სართული (კორიდორი და ფოიე)</t>
  </si>
  <si>
    <t>2022 წლის 21 ივნისი</t>
  </si>
  <si>
    <t xml:space="preserve"> კორიდორი და ფოიეები </t>
  </si>
  <si>
    <t xml:space="preserve"> კორიდორი და ფოიე</t>
  </si>
  <si>
    <t xml:space="preserve"> კორიდორი </t>
  </si>
  <si>
    <r>
      <t xml:space="preserve">თბილისი, ლუბლიანას N 48.     </t>
    </r>
    <r>
      <rPr>
        <b/>
        <sz val="11"/>
        <color theme="1"/>
        <rFont val="Sylfaen"/>
        <family val="1"/>
        <charset val="204"/>
      </rPr>
      <t xml:space="preserve">კლინიკა კარაბს მედლაინი </t>
    </r>
  </si>
  <si>
    <r>
      <rPr>
        <b/>
        <sz val="12"/>
        <color theme="1"/>
        <rFont val="Sylfaen"/>
        <family val="1"/>
        <charset val="204"/>
      </rPr>
      <t>V</t>
    </r>
    <r>
      <rPr>
        <b/>
        <sz val="12"/>
        <color theme="1"/>
        <rFont val="Sylfaen"/>
        <family val="1"/>
      </rPr>
      <t xml:space="preserve"> სართულზე ღია ტერასის სამუშაო ოთახებად გადაკეთების   სამუშაოების ხარჯთაღრიცხვა                                                                                          </t>
    </r>
  </si>
  <si>
    <t>2022 წლის 13 მაისი</t>
  </si>
  <si>
    <t>ლითონის (1.08x0.68x0.85)მ ზომის ხე/მცენარეების ურნების გადაადგილება ხელით და ავტო ამწით ჩამოტანა V სართულიდან</t>
  </si>
  <si>
    <t xml:space="preserve">ავტოამწე  </t>
  </si>
  <si>
    <t>მანქ/სთ</t>
  </si>
  <si>
    <t>პლასტმასის საყვავილეების ჩამოტანა ხელით   V სართულიდან</t>
  </si>
  <si>
    <t>კორიდორიდან შესასვლელში მეტალო პლასტმასის კარის ბლოკის დემონტაჟი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</si>
  <si>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</si>
  <si>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შემომსაზღვრელ კედლებზე ალუმინის 0.35მ სიმაღლის  მინიანი მოაჯირების დემონტაჟი</t>
  </si>
  <si>
    <t xml:space="preserve">ჭერზე შეფიცვრისა და სახურავზე თუნუქის პროფილირებული ფილების ამოჭრა ჰაერსატარი კედლებისათვის </t>
  </si>
  <si>
    <t>ჰაერსტარის კედლების აშენება აგურით ცემენტის ხსნარზე სისქე 12 სმ</t>
  </si>
  <si>
    <t>მანქანები  0.0759 x 15.0</t>
  </si>
  <si>
    <t>ქვიშა-ცემენტის ხსნარი მ100</t>
  </si>
  <si>
    <r>
      <t>მ</t>
    </r>
    <r>
      <rPr>
        <sz val="10"/>
        <color theme="1"/>
        <rFont val="Cambria"/>
        <family val="1"/>
        <charset val="204"/>
      </rPr>
      <t>³</t>
    </r>
  </si>
  <si>
    <t>აგური ადგილობრივი</t>
  </si>
  <si>
    <t>სხვა მასალები  0.0576 x 15.0</t>
  </si>
  <si>
    <t>სახურავზე ჰაერსატარი კედლების ქუდების მოწყობა ფერადი თუნუქით (დემონტირებული)</t>
  </si>
  <si>
    <t>სახურავზე ამოშენებული ჰაერსატარის კედლების შეფუთვა ფერადი თუნუქით</t>
  </si>
  <si>
    <t>ხის ფაქტურის მეტალოპლასტმასის ვიტრაჟების მონტაჟი  შემომსაზღვრელ კედლებზე (ხის  ჭერის ფიცრების დემონტაჟით და მონტაჟით)</t>
  </si>
  <si>
    <t>მანქანები  0.23 x 38.4</t>
  </si>
  <si>
    <t>მეტალო პლასტმასის ფანჯრები  ხის ფაქტურით</t>
  </si>
  <si>
    <t>სხვა მასალები     0.3 x 38.4</t>
  </si>
  <si>
    <t>თაბაშირ/მუყაოს ტიხრების მოწყობა ლითონის კარკასზე ქვაბამბის იზოლაციით</t>
  </si>
  <si>
    <t>მანქანები  0.12 x 49.4</t>
  </si>
  <si>
    <t xml:space="preserve">ტიხრის  ლითონის კარკასი, სამაგრებით </t>
  </si>
  <si>
    <t>თაბაშირ მუყაოს ფილები 2.1x49.5</t>
  </si>
  <si>
    <t>მინაბამბა 5 სმ</t>
  </si>
  <si>
    <t>სხვა მასალები  0.264 x 49.5</t>
  </si>
  <si>
    <t>კედლების ლითონის სვეტების და ჰაერსატარების შეფუთვა თაბაშირ/მუყაოს ფილებით (გარე კედლებზე თბოიზოლაციით</t>
  </si>
  <si>
    <t>მანქანები  0.0957 x 52</t>
  </si>
  <si>
    <t xml:space="preserve">კედლის ლითონის კარკასი, სამაგრებით </t>
  </si>
  <si>
    <t>თაბაშირ მუყაოს ფილები 1.05x52</t>
  </si>
  <si>
    <t>სხვა მასალები   0.122 x 52</t>
  </si>
  <si>
    <t>ხის ფაქტურის პლასტმასის ფანჯრის რაფების მოწყობა სიგანე 18 სმ</t>
  </si>
  <si>
    <t>მანქანები  0.027 x 27.0</t>
  </si>
  <si>
    <t xml:space="preserve"> პლასტმასის ფანჯრის რაფა   სიგანე 18 სმ</t>
  </si>
  <si>
    <t>ქაფი წებო</t>
  </si>
  <si>
    <t>სხვა მასალები     0.048 x 27.0</t>
  </si>
  <si>
    <t>ფანჯრის გარე მხრიდან საცრემლეების მოწყობა  სიგანე 15 სმ</t>
  </si>
  <si>
    <t>მანქანები  0.0041 x 27.0</t>
  </si>
  <si>
    <t>მოთუთიებული თუნუქის ფურცელი 0.55მმ</t>
  </si>
  <si>
    <t>სხვა მასალები     0.078 x 27.0</t>
  </si>
  <si>
    <t>კორიდორიდან შესასვლელში მეთლახის იატაკის აყრა (დონეთა სხვაობის გამო)</t>
  </si>
  <si>
    <t xml:space="preserve">მეთლახის ფილების დაგება ქანობით (არსებული მეთლახის ფილებთან შეხამებით) </t>
  </si>
  <si>
    <t>ლამინატის იატაკის საფარის მოწყობა არსებულ მეტლახის იატაკზე</t>
  </si>
  <si>
    <t>მანქანები  0.0301 x 73.0</t>
  </si>
  <si>
    <t>ლამინატი 1.015x73.0</t>
  </si>
  <si>
    <r>
      <t>მ</t>
    </r>
    <r>
      <rPr>
        <sz val="10"/>
        <color theme="1"/>
        <rFont val="Calibri"/>
        <family val="2"/>
        <charset val="204"/>
      </rPr>
      <t>²</t>
    </r>
  </si>
  <si>
    <t>ლამინატის ღრუბელი</t>
  </si>
  <si>
    <t>პლინტუსი პლასტიკატის</t>
  </si>
  <si>
    <t>სხვა მასალები     0.107 x 73.0</t>
  </si>
  <si>
    <t xml:space="preserve">თაბაშირ/მუყაოს ტიხრებისა და კედლების შეფითხვნა, დამუშავება და შეღებვა წყალემულსიური საღებავით </t>
  </si>
  <si>
    <t>მანქანები  0.02 x 150.8</t>
  </si>
  <si>
    <t>ფითხი   0.45x150.8</t>
  </si>
  <si>
    <t>ზუმფარა     0.009 x 150.8</t>
  </si>
  <si>
    <t>წყალემულსიური საღებავი  0.4x150.8</t>
  </si>
  <si>
    <t>საღებავის გრუნტი, 0.12x150.8</t>
  </si>
  <si>
    <t>სამღებრო ბადე ლენტა  0.6x150.8</t>
  </si>
  <si>
    <t>სამღებრო კუთხოვანა  0.26x150.8</t>
  </si>
  <si>
    <t>სხვა მასალები   0.03 x 150.8</t>
  </si>
  <si>
    <t>გათბობა-გაგრილება</t>
  </si>
  <si>
    <t>არსებული კონდიციონერების გარე ბლოკების დემონტაჟი (9000BTU-1ც, 12000BTU-1ც. 18000BTU-2ც)</t>
  </si>
  <si>
    <t>დემონტირებული კონდიციონერების გარე ბლოკების მონტაჟი გარე კედელზე  ამწის საშუალებით (9000BTU-1ც, 12000BTU-1ც. 18000BTU-2ც) საჭიროების შემთხვევაში სპილენძის მილების დამატებით</t>
  </si>
  <si>
    <t xml:space="preserve">ახალი კონდიციონერების გარე და შიდა ბლოკების მონტაჟი გარე კედელზე  ამწის საშუალებით (9000BTU-2ც,  18000BTU-1ც) </t>
  </si>
  <si>
    <t xml:space="preserve">კონდიციონერი 7000BTU </t>
  </si>
  <si>
    <t xml:space="preserve">კონდიციონერი 12000BTU </t>
  </si>
  <si>
    <t>სხვა დამხმარე მასალები</t>
  </si>
  <si>
    <t xml:space="preserve">დ=25მმ გათბობის მინაბოჭკოვანი მილგაყვანილობის მონტაჟი იზოლაციით  </t>
  </si>
  <si>
    <t>მანქანები  0.0172 x 60.0</t>
  </si>
  <si>
    <t xml:space="preserve">მილი დ=25მმ გათბობის მინაბოჭკოვანი </t>
  </si>
  <si>
    <t>ბურთულიანი ვენტილი დ25მმ</t>
  </si>
  <si>
    <t>მილების იზოლაცია დ25მმ</t>
  </si>
  <si>
    <t>სხვა მასალები 0.0393x60.0</t>
  </si>
  <si>
    <t xml:space="preserve">დ=20მმ გათბობის მინაბოჭკოვანი მილგაყვანილობის მონტაჟი იზოლაციით  </t>
  </si>
  <si>
    <t>მანქანები  0.0257 x 30.0</t>
  </si>
  <si>
    <t xml:space="preserve">მილი დ=20მმ გათბობის მინაბოჭკოვანი </t>
  </si>
  <si>
    <t>მილების იზოლაცია დ20მმ</t>
  </si>
  <si>
    <t>სხვა მასალები 0.0457x30.0</t>
  </si>
  <si>
    <t xml:space="preserve">გათბობის პანელური რადიატორების მონტაჟი  </t>
  </si>
  <si>
    <t>პანელური რადიატორი 700x600 მმ</t>
  </si>
  <si>
    <t>პანელური რადიატორი 800x600 მმ</t>
  </si>
  <si>
    <t>რადიატორის ვენტილები</t>
  </si>
  <si>
    <t>ცალი</t>
  </si>
  <si>
    <t>სხვა მასალები 1.64x60.0</t>
  </si>
  <si>
    <t>ფასონური ნაწილები</t>
  </si>
  <si>
    <t>გათბობის მილებისათვის დ=30მმ  ნახვრეტების მოწყობა 40სმ კედლებში</t>
  </si>
  <si>
    <t>ელ სამონტაჟო სამუშაოები</t>
  </si>
  <si>
    <t xml:space="preserve">არსებული მრგვალი ლედ სანათების დემონტაჟი </t>
  </si>
  <si>
    <t>შტეფსელური როზეტი დამიწების კონტურით 10 ა, 230ვ მონტაჟი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</si>
  <si>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</si>
  <si>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 გატარებით</t>
  </si>
  <si>
    <t>სპილენძის ძარღვიანი კაბელი ორმაგი იზოლაციით 0.22 კვ, კვეთ. (3 Χ 10)მმ² მონტაჟი გოფრირებულ მილში გატარებით</t>
  </si>
  <si>
    <t>დ20მმ   ცეცხლგამძლე გოფრირებული მილები</t>
  </si>
  <si>
    <t>ელ გამანაწილებელ კარადაში 63 ა ავტომატის მონტაჟი</t>
  </si>
  <si>
    <t>შეადგინა</t>
  </si>
  <si>
    <t>გიორგი ხელიშვილი</t>
  </si>
  <si>
    <t>მობ: 598590777</t>
  </si>
  <si>
    <t>კორექტირება 2</t>
  </si>
  <si>
    <t xml:space="preserve">სს  "ევექსის ჰოსპიტლები" </t>
  </si>
  <si>
    <r>
      <t xml:space="preserve">ქ. თბილისი, ლუბლიანას ქ. 48,   კლინიკა </t>
    </r>
    <r>
      <rPr>
        <b/>
        <sz val="11"/>
        <color theme="1"/>
        <rFont val="Sylfaen"/>
        <family val="1"/>
      </rPr>
      <t>„კარაპს მედლაინი“</t>
    </r>
  </si>
  <si>
    <t xml:space="preserve">კლინიკაში III სართულზე ბოქსირებული პალატის მოწყობის სარეკონსტრუქციო სამუშაოების ხარჯთაღრიცხვა </t>
  </si>
  <si>
    <r>
      <t xml:space="preserve">2022 წლის 15 </t>
    </r>
    <r>
      <rPr>
        <b/>
        <sz val="12"/>
        <color theme="1"/>
        <rFont val="AcadNusx"/>
      </rPr>
      <t>maisi</t>
    </r>
  </si>
  <si>
    <t>საორიენტაციო სახარჯთაღრიცხვო  ღირ-ბა    ლარი</t>
  </si>
  <si>
    <t>NN</t>
  </si>
  <si>
    <t xml:space="preserve">მანქანა/მექანიზმი და სხვა მანქანები </t>
  </si>
  <si>
    <t>1.   სადემონტაჟო სამუშაოები</t>
  </si>
  <si>
    <t>თაბ. მუყ. ტიხრის დემონტაჟი</t>
  </si>
  <si>
    <t>კერამიკული ფილების დემონტაჟი</t>
  </si>
  <si>
    <t>ალუმ. კარის ბლოკის დემონტაჟი დაუზიანებლად</t>
  </si>
  <si>
    <t xml:space="preserve">აივნის კარის ბლოკის ფრამუგის დემონტაჟი </t>
  </si>
  <si>
    <t>ელ. წერტილების დემონტაჟი (გადაადგილება)</t>
  </si>
  <si>
    <t>წერტ</t>
  </si>
  <si>
    <t>სამშენებლო ნარჩენების ჩატანა სართულიდან, დატვირთვა ა/მ-ზე და ტრანსპორტირება 10 კმ-მდე  მანძილზე</t>
  </si>
  <si>
    <t>2. სამშენებლო  სამუშაოები</t>
  </si>
  <si>
    <t>თ/მუყაოს ტიხრის მოწყობა 100 მმ  ბგერა თბო იზოლაციით</t>
  </si>
  <si>
    <t>თ/მუყაოს ტიხრის მოწყობა 100 მმ ნესტგამძლე ბგერა თბო იზოლაციით</t>
  </si>
  <si>
    <t xml:space="preserve">აივნის კარის ფრამუგაში 18 მმ სენდვიჩ პანელის მოწყობა </t>
  </si>
  <si>
    <t xml:space="preserve">თაბ.მუყ. ფილა   </t>
  </si>
  <si>
    <t xml:space="preserve">თაბ.მუყ. ფილა  ნესტგამძლე    </t>
  </si>
  <si>
    <t>დგარის პროფილი 75მმ X 0.5მმ, ხრახნები, დუბელი და სხვა  1მ² ტიხარზე</t>
  </si>
  <si>
    <t xml:space="preserve">მინაბამბა საიზოლაციო </t>
  </si>
  <si>
    <t>სენდვიჩპანელი 18 მმ</t>
  </si>
  <si>
    <r>
      <t xml:space="preserve">კერამიკული ფილების მოწყობა კედლებზე </t>
    </r>
    <r>
      <rPr>
        <sz val="10"/>
        <color theme="1"/>
        <rFont val="Sylfaen"/>
        <family val="1"/>
      </rPr>
      <t>(ტუალეტში და შლუზის ხელსაბანთან)</t>
    </r>
  </si>
  <si>
    <t>კერამიკული ფილა არსებულის მსგავსი</t>
  </si>
  <si>
    <t xml:space="preserve">წებოცემენტი   </t>
  </si>
  <si>
    <t xml:space="preserve">ფუგა     </t>
  </si>
  <si>
    <t>კუთხონა პლასტიკატის</t>
  </si>
  <si>
    <t xml:space="preserve">ალუმინის კარის ბლოკის მონტაჟი </t>
  </si>
  <si>
    <t>არსებული მასალა  ალ. კარის ბლოკი</t>
  </si>
  <si>
    <t>სამაგრი ანკერები</t>
  </si>
  <si>
    <t>სამონტაჟო ქაფი 1000 მგ</t>
  </si>
  <si>
    <t>სამღებვრო სამუშაოები</t>
  </si>
  <si>
    <t>ემულსიური საღებავი რეცხვადი</t>
  </si>
  <si>
    <t xml:space="preserve">ზუმფარა      </t>
  </si>
  <si>
    <t>სამღებრო ბადე ლენტა</t>
  </si>
  <si>
    <t>სამღებრო კუთხოვანა</t>
  </si>
  <si>
    <t>წყალგაყვანილობა</t>
  </si>
  <si>
    <t>ლიპროპილენის ცივი წყლის მილის მონტაჟი SDR11 PN 16 Ø20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</si>
  <si>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</si>
  <si>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</si>
  <si>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ფასონური დეტალები</t>
  </si>
  <si>
    <t>წყალარინება</t>
  </si>
  <si>
    <t>პლასტმასის დ50 მმ კანალიზაციის მილის მონტაჟი</t>
  </si>
  <si>
    <t>ხელსაბანი ფაიფურის 60X50X800 მმ, ბოთლისებრი სიფონით, ქრომირებული ლატუნის შემრევით,  მაღალი ხარისხის დრეკადი მილებით)</t>
  </si>
  <si>
    <t xml:space="preserve">ფასონური დეტალები  </t>
  </si>
  <si>
    <t>ელ-სამონტაჟო სამუშაოები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</si>
  <si>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</si>
  <si>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შტეფსელური როზეტი დამიწების კონტაქტით 10 ა, 230ვ</t>
  </si>
  <si>
    <t>ამომრთველი 2 კლავიშიანი 10ა, 220 ვ</t>
  </si>
  <si>
    <r>
      <t xml:space="preserve"> ვენტილაცია </t>
    </r>
    <r>
      <rPr>
        <sz val="10"/>
        <color theme="1"/>
        <rFont val="Sylfaen"/>
        <family val="1"/>
      </rPr>
      <t>(პალატაში ურყოფითი წნევის შექმნა)</t>
    </r>
  </si>
  <si>
    <t xml:space="preserve">სენდვიჩპანელში ჩასამონრტაჟებელი ვენტილატორი  L=200m³/h 50pa </t>
  </si>
  <si>
    <t>ცხაური</t>
  </si>
  <si>
    <t>ფასონური ნაწილები, სამაგრები და დამხმარე მასალები</t>
  </si>
  <si>
    <t>საპენსიო დანარიცხები</t>
  </si>
  <si>
    <t>№8</t>
  </si>
  <si>
    <t>№9</t>
  </si>
  <si>
    <t>ვერანდის მოწყობა</t>
  </si>
  <si>
    <t>ბოქსირებული პალატა</t>
  </si>
  <si>
    <t xml:space="preserve">ახალი ჭერზე მისამაგრებელი მრგვალი D =16 სმ ლედ სანათების მონტაჟი </t>
  </si>
  <si>
    <t>ამომრთველი2  კლავიშიანი 6 ა, 220ვ  მონტაჟი</t>
  </si>
  <si>
    <t>კაბინეტში  ჭერის შეღებვა ემულსიური  წმენდადი საღებავით</t>
  </si>
  <si>
    <t>კაბინეტში  კედლების შეღებვა ემულსიური  წმენდადი საღებავით</t>
  </si>
  <si>
    <t>კორიდორში  კედლების შეღებვა ემულსიური  წმენდადი საღებავით</t>
  </si>
  <si>
    <t>კორიდორში და II კიბის უჯრედის წინ ფოიეში კედლების შეღებვა  ემულსიური  წმენდადი საღებავით</t>
  </si>
  <si>
    <t>II კიბის უჯრედის წინ ფოიეში   ჭერის შეღებვა ემულსიური  წმენდადი საღებავით</t>
  </si>
  <si>
    <t>ინვიტრო განყოფილების კორიდორში და სარეკონსტრუქციო ოთახების შეღებვა ემულსიური  წმენდადი საღებავით</t>
  </si>
  <si>
    <t>ინვიტრო განყოფილების კორიდორში და სარეკონსტრუქციო ოთახებში ჭერის შეღებვა ემულსიური  წმენდადი საღებავით</t>
  </si>
  <si>
    <t>15</t>
  </si>
  <si>
    <t>17</t>
  </si>
  <si>
    <t>20</t>
  </si>
  <si>
    <t xml:space="preserve">კორიდორში  და ფოიეებში კედლების შეღებვა ემულსიური  წმენდადი საღებავით    </t>
  </si>
  <si>
    <t>ფოიეებში  ჭერის შეღებვა ემულსიური  წმენდადი საღებავით</t>
  </si>
  <si>
    <t>კორიდორში  და ფოიეებში კედლების შეღებვა ემულსიური  წმენდადი საღებავით</t>
  </si>
  <si>
    <t>კორიდორებში  კედლების ღებვა ემულსიური  წმენდადი საღებავით</t>
  </si>
  <si>
    <t>კიბის უჯრედების  კედლების შეღებვა ემულსიური  წმენდადი  საღებავით</t>
  </si>
  <si>
    <t>კიბის მარშების ქვედა ზედაპირის შეღებვა ემულსიური  წმენდადი  საღებავით</t>
  </si>
  <si>
    <t>კიბის უჯრედების ჭერის შეღებვა ემულსიური  წმენდადი საღებავით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</si>
</sst>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0\ _₾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color theme="1"/>
      <name val="Cambria"/>
      <family val="1"/>
      <charset val="204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8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8"/>
      <color theme="1"/>
      <name val="Sylfae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7" fillId="0" borderId="0"/>
    <xf numFmtId="43" fontId="29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2" fontId="1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6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3" fillId="2" borderId="9" xfId="0" applyFont="1" applyFill="1" applyBorder="1" applyAlignment="1">
      <alignment vertical="center"/>
    </xf>
    <xf numFmtId="0" fontId="0" fillId="0" borderId="10" xfId="0" applyBorder="1"/>
    <xf numFmtId="0" fontId="23" fillId="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3" fillId="2" borderId="12" xfId="0" applyFont="1" applyFill="1" applyBorder="1"/>
    <xf numFmtId="0" fontId="7" fillId="2" borderId="4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3" fontId="10" fillId="0" borderId="1" xfId="2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3" fillId="0" borderId="1" xfId="2" applyNumberFormat="1" applyFont="1" applyBorder="1"/>
    <xf numFmtId="43" fontId="1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49" fontId="22" fillId="0" borderId="4" xfId="1" applyNumberFormat="1" applyFont="1" applyBorder="1" applyAlignment="1">
      <alignment horizontal="center" vertical="top" wrapText="1"/>
    </xf>
    <xf numFmtId="49" fontId="22" fillId="0" borderId="7" xfId="1" applyNumberFormat="1" applyFont="1" applyBorder="1" applyAlignment="1">
      <alignment horizontal="center" vertical="top" wrapText="1"/>
    </xf>
    <xf numFmtId="49" fontId="22" fillId="0" borderId="5" xfId="1" applyNumberFormat="1" applyFont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 2" xfId="1" xr:uid="{00000000-0005-0000-0000-000001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7"/>
  <sheetViews>
    <sheetView tabSelected="1" workbookViewId="0">
      <selection activeCell="H21" sqref="H21"/>
    </sheetView>
  </sheetViews>
  <sheetFormatPr defaultColWidth="9.109375" defaultRowHeight="14.4" x14ac:dyDescent="0.3"/>
  <cols>
    <col min="1" max="1" width="7.33203125" style="65" customWidth="1"/>
    <col min="2" max="2" width="69.109375" style="65" customWidth="1"/>
    <col min="3" max="3" width="18.44140625" style="65" customWidth="1"/>
    <col min="4" max="4" width="24.5546875" style="65" customWidth="1"/>
    <col min="5" max="6" width="9.109375" style="65"/>
    <col min="7" max="7" width="10.44140625" style="65" bestFit="1" customWidth="1"/>
    <col min="8" max="16384" width="9.109375" style="65"/>
  </cols>
  <sheetData>
    <row r="2" spans="1:7" x14ac:dyDescent="0.3">
      <c r="A2" s="144" t="s">
        <v>103</v>
      </c>
      <c r="B2" s="144"/>
    </row>
    <row r="3" spans="1:7" x14ac:dyDescent="0.3">
      <c r="A3" s="145" t="s">
        <v>122</v>
      </c>
      <c r="B3" s="145"/>
    </row>
    <row r="4" spans="1:7" x14ac:dyDescent="0.3">
      <c r="A4" s="80"/>
      <c r="B4" s="80"/>
    </row>
    <row r="5" spans="1:7" x14ac:dyDescent="0.3">
      <c r="A5" s="142" t="s">
        <v>104</v>
      </c>
      <c r="B5" s="142"/>
      <c r="C5" s="142"/>
      <c r="D5" s="142"/>
    </row>
    <row r="6" spans="1:7" ht="16.2" x14ac:dyDescent="0.3">
      <c r="A6" s="143" t="s">
        <v>63</v>
      </c>
      <c r="B6" s="143"/>
      <c r="C6" s="143"/>
      <c r="D6" s="143"/>
    </row>
    <row r="7" spans="1:7" ht="24.9" customHeight="1" x14ac:dyDescent="0.3">
      <c r="A7" s="78"/>
      <c r="B7" s="79" t="s">
        <v>67</v>
      </c>
      <c r="C7" s="78" t="s">
        <v>65</v>
      </c>
      <c r="D7" s="78" t="s">
        <v>66</v>
      </c>
    </row>
    <row r="8" spans="1:7" ht="24.9" customHeight="1" x14ac:dyDescent="0.3">
      <c r="A8" s="66">
        <v>1</v>
      </c>
      <c r="B8" s="68" t="s">
        <v>121</v>
      </c>
      <c r="C8" s="69" t="s">
        <v>68</v>
      </c>
      <c r="D8" s="138">
        <f>'0 სართული'!K32</f>
        <v>0</v>
      </c>
      <c r="G8" s="141"/>
    </row>
    <row r="9" spans="1:7" ht="24.9" customHeight="1" x14ac:dyDescent="0.3">
      <c r="A9" s="66">
        <v>2</v>
      </c>
      <c r="B9" s="68" t="s">
        <v>116</v>
      </c>
      <c r="C9" s="69" t="s">
        <v>69</v>
      </c>
      <c r="D9" s="138">
        <f>'I სართული'!K120</f>
        <v>0</v>
      </c>
      <c r="G9" s="141"/>
    </row>
    <row r="10" spans="1:7" ht="24.9" customHeight="1" x14ac:dyDescent="0.3">
      <c r="A10" s="66">
        <v>3</v>
      </c>
      <c r="B10" s="68" t="s">
        <v>117</v>
      </c>
      <c r="C10" s="69" t="s">
        <v>70</v>
      </c>
      <c r="D10" s="138">
        <f>IIსართული!K36</f>
        <v>0</v>
      </c>
      <c r="G10" s="141"/>
    </row>
    <row r="11" spans="1:7" ht="24.9" customHeight="1" x14ac:dyDescent="0.3">
      <c r="A11" s="66">
        <v>4</v>
      </c>
      <c r="B11" s="68" t="s">
        <v>118</v>
      </c>
      <c r="C11" s="69" t="s">
        <v>71</v>
      </c>
      <c r="D11" s="138">
        <f>IIIსართული!K36</f>
        <v>0</v>
      </c>
      <c r="G11" s="141"/>
    </row>
    <row r="12" spans="1:7" ht="24.9" customHeight="1" x14ac:dyDescent="0.3">
      <c r="A12" s="66">
        <v>5</v>
      </c>
      <c r="B12" s="68" t="s">
        <v>119</v>
      </c>
      <c r="C12" s="69" t="s">
        <v>72</v>
      </c>
      <c r="D12" s="138">
        <f>IVსართული!K36</f>
        <v>0</v>
      </c>
      <c r="G12" s="141"/>
    </row>
    <row r="13" spans="1:7" ht="24.9" customHeight="1" x14ac:dyDescent="0.3">
      <c r="A13" s="66">
        <v>6</v>
      </c>
      <c r="B13" s="68" t="s">
        <v>120</v>
      </c>
      <c r="C13" s="69" t="s">
        <v>73</v>
      </c>
      <c r="D13" s="138">
        <f>Vსართული!K30</f>
        <v>0</v>
      </c>
      <c r="G13" s="141"/>
    </row>
    <row r="14" spans="1:7" ht="24.9" customHeight="1" x14ac:dyDescent="0.3">
      <c r="A14" s="66">
        <v>7</v>
      </c>
      <c r="B14" s="70" t="s">
        <v>64</v>
      </c>
      <c r="C14" s="69" t="s">
        <v>74</v>
      </c>
      <c r="D14" s="139">
        <f>'კიბის უჯრედები'!K37</f>
        <v>0</v>
      </c>
      <c r="G14" s="141"/>
    </row>
    <row r="15" spans="1:7" ht="24.9" customHeight="1" x14ac:dyDescent="0.3">
      <c r="A15" s="66">
        <v>8</v>
      </c>
      <c r="B15" s="70" t="s">
        <v>283</v>
      </c>
      <c r="C15" s="69" t="s">
        <v>281</v>
      </c>
      <c r="D15" s="139">
        <f>'ვერანდის მოწყობა'!K111</f>
        <v>0</v>
      </c>
      <c r="G15" s="141"/>
    </row>
    <row r="16" spans="1:7" ht="24.9" customHeight="1" x14ac:dyDescent="0.3">
      <c r="A16" s="66">
        <v>9</v>
      </c>
      <c r="B16" s="70" t="s">
        <v>284</v>
      </c>
      <c r="C16" s="69" t="s">
        <v>282</v>
      </c>
      <c r="D16" s="139">
        <f>'ბოქსირებული პალატა'!K77</f>
        <v>0</v>
      </c>
      <c r="G16" s="141"/>
    </row>
    <row r="17" spans="1:4" ht="24.9" customHeight="1" x14ac:dyDescent="0.3">
      <c r="A17" s="62"/>
      <c r="B17" s="67" t="s">
        <v>6</v>
      </c>
      <c r="C17" s="62"/>
      <c r="D17" s="140">
        <f>SUM(D8:D16)</f>
        <v>0</v>
      </c>
    </row>
  </sheetData>
  <mergeCells count="4">
    <mergeCell ref="A5:D5"/>
    <mergeCell ref="A6:D6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7"/>
  <sheetViews>
    <sheetView workbookViewId="0">
      <selection activeCell="C74" sqref="C74"/>
    </sheetView>
  </sheetViews>
  <sheetFormatPr defaultColWidth="9.109375" defaultRowHeight="14.4" x14ac:dyDescent="0.3"/>
  <cols>
    <col min="1" max="1" width="3" style="1" customWidth="1"/>
    <col min="2" max="2" width="69.44140625" style="65" customWidth="1"/>
    <col min="3" max="3" width="6.109375" style="122" customWidth="1"/>
    <col min="4" max="4" width="8.33203125" style="122" customWidth="1"/>
    <col min="5" max="5" width="7.44140625" style="122" customWidth="1"/>
    <col min="6" max="6" width="9.6640625" style="122" customWidth="1"/>
    <col min="7" max="7" width="7.33203125" style="122" customWidth="1"/>
    <col min="8" max="8" width="9.44140625" style="122" customWidth="1"/>
    <col min="9" max="9" width="6.44140625" style="122" customWidth="1"/>
    <col min="10" max="10" width="8.44140625" style="122" customWidth="1"/>
    <col min="11" max="11" width="12.44140625" style="122" customWidth="1"/>
    <col min="12" max="16384" width="9.109375" style="65"/>
  </cols>
  <sheetData>
    <row r="1" spans="1:11" x14ac:dyDescent="0.3">
      <c r="B1" s="96" t="s">
        <v>221</v>
      </c>
    </row>
    <row r="2" spans="1:11" x14ac:dyDescent="0.3">
      <c r="B2" s="96" t="s">
        <v>222</v>
      </c>
    </row>
    <row r="3" spans="1:11" x14ac:dyDescent="0.3">
      <c r="B3" s="96" t="s">
        <v>223</v>
      </c>
      <c r="I3" s="183"/>
      <c r="J3" s="183"/>
      <c r="K3" s="183"/>
    </row>
    <row r="4" spans="1:11" x14ac:dyDescent="0.3">
      <c r="B4" s="96"/>
      <c r="H4" s="184" t="s">
        <v>224</v>
      </c>
      <c r="I4" s="184"/>
      <c r="J4" s="184"/>
      <c r="K4" s="184"/>
    </row>
    <row r="5" spans="1:11" x14ac:dyDescent="0.3">
      <c r="B5" s="97" t="s">
        <v>225</v>
      </c>
    </row>
    <row r="6" spans="1:11" x14ac:dyDescent="0.3">
      <c r="B6" s="97" t="s">
        <v>226</v>
      </c>
    </row>
    <row r="7" spans="1:11" ht="45" customHeight="1" x14ac:dyDescent="0.3">
      <c r="A7" s="185" t="s">
        <v>227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8" customHeight="1" x14ac:dyDescent="0.3">
      <c r="A8" s="98"/>
      <c r="B8" s="99" t="s">
        <v>228</v>
      </c>
      <c r="C8" s="158" t="s">
        <v>229</v>
      </c>
      <c r="D8" s="158"/>
      <c r="E8" s="158"/>
      <c r="F8" s="158"/>
      <c r="G8" s="158"/>
      <c r="H8" s="158"/>
      <c r="I8" s="158"/>
      <c r="J8" s="186">
        <f>K77</f>
        <v>0</v>
      </c>
      <c r="K8" s="187"/>
    </row>
    <row r="9" spans="1:11" s="1" customFormat="1" ht="27.75" customHeight="1" x14ac:dyDescent="0.3">
      <c r="A9" s="149" t="s">
        <v>230</v>
      </c>
      <c r="B9" s="149" t="s">
        <v>0</v>
      </c>
      <c r="C9" s="149" t="s">
        <v>1</v>
      </c>
      <c r="D9" s="154" t="s">
        <v>2</v>
      </c>
      <c r="E9" s="156" t="s">
        <v>3</v>
      </c>
      <c r="F9" s="157"/>
      <c r="G9" s="156" t="s">
        <v>4</v>
      </c>
      <c r="H9" s="157"/>
      <c r="I9" s="181" t="s">
        <v>231</v>
      </c>
      <c r="J9" s="182"/>
      <c r="K9" s="149" t="s">
        <v>6</v>
      </c>
    </row>
    <row r="10" spans="1:11" s="101" customFormat="1" ht="26.25" customHeight="1" x14ac:dyDescent="0.3">
      <c r="A10" s="150"/>
      <c r="B10" s="150"/>
      <c r="C10" s="150"/>
      <c r="D10" s="155"/>
      <c r="E10" s="100" t="s">
        <v>7</v>
      </c>
      <c r="F10" s="11" t="s">
        <v>6</v>
      </c>
      <c r="G10" s="100" t="s">
        <v>7</v>
      </c>
      <c r="H10" s="11" t="s">
        <v>6</v>
      </c>
      <c r="I10" s="100" t="s">
        <v>7</v>
      </c>
      <c r="J10" s="11" t="s">
        <v>6</v>
      </c>
      <c r="K10" s="150"/>
    </row>
    <row r="11" spans="1:11" s="122" customFormat="1" x14ac:dyDescent="0.3">
      <c r="A11" s="5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x14ac:dyDescent="0.3">
      <c r="A12" s="5"/>
      <c r="B12" s="102" t="s">
        <v>232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5">
        <v>1</v>
      </c>
      <c r="B13" s="7" t="s">
        <v>233</v>
      </c>
      <c r="C13" s="5" t="s">
        <v>174</v>
      </c>
      <c r="D13" s="4">
        <v>2</v>
      </c>
      <c r="E13" s="4"/>
      <c r="F13" s="4"/>
      <c r="G13" s="4"/>
      <c r="H13" s="4"/>
      <c r="I13" s="4"/>
      <c r="J13" s="4"/>
      <c r="K13" s="4"/>
    </row>
    <row r="14" spans="1:11" x14ac:dyDescent="0.3">
      <c r="A14" s="5">
        <v>2</v>
      </c>
      <c r="B14" s="7" t="s">
        <v>234</v>
      </c>
      <c r="C14" s="5" t="s">
        <v>174</v>
      </c>
      <c r="D14" s="4">
        <v>1.8</v>
      </c>
      <c r="E14" s="4"/>
      <c r="F14" s="4"/>
      <c r="G14" s="4"/>
      <c r="H14" s="4"/>
      <c r="I14" s="4"/>
      <c r="J14" s="4"/>
      <c r="K14" s="4"/>
    </row>
    <row r="15" spans="1:11" x14ac:dyDescent="0.3">
      <c r="A15" s="5">
        <v>3</v>
      </c>
      <c r="B15" s="7" t="s">
        <v>235</v>
      </c>
      <c r="C15" s="5" t="s">
        <v>174</v>
      </c>
      <c r="D15" s="4">
        <v>1.7</v>
      </c>
      <c r="E15" s="4"/>
      <c r="F15" s="4"/>
      <c r="G15" s="4"/>
      <c r="H15" s="4"/>
      <c r="I15" s="4"/>
      <c r="J15" s="4"/>
      <c r="K15" s="4"/>
    </row>
    <row r="16" spans="1:11" x14ac:dyDescent="0.3">
      <c r="A16" s="5">
        <v>4</v>
      </c>
      <c r="B16" s="7" t="s">
        <v>236</v>
      </c>
      <c r="C16" s="5" t="s">
        <v>10</v>
      </c>
      <c r="D16" s="4">
        <v>4</v>
      </c>
      <c r="E16" s="4"/>
      <c r="F16" s="4"/>
      <c r="G16" s="4"/>
      <c r="H16" s="4"/>
      <c r="I16" s="4"/>
      <c r="J16" s="4"/>
      <c r="K16" s="4"/>
    </row>
    <row r="17" spans="1:11" x14ac:dyDescent="0.3">
      <c r="A17" s="5">
        <v>5</v>
      </c>
      <c r="B17" s="7" t="s">
        <v>237</v>
      </c>
      <c r="C17" s="17" t="s">
        <v>238</v>
      </c>
      <c r="D17" s="4">
        <v>2</v>
      </c>
      <c r="E17" s="4"/>
      <c r="F17" s="4"/>
      <c r="G17" s="4"/>
      <c r="H17" s="4"/>
      <c r="I17" s="4"/>
      <c r="J17" s="4"/>
      <c r="K17" s="4"/>
    </row>
    <row r="18" spans="1:11" ht="35.25" customHeight="1" x14ac:dyDescent="0.3">
      <c r="A18" s="5">
        <v>6</v>
      </c>
      <c r="B18" s="6" t="s">
        <v>239</v>
      </c>
      <c r="C18" s="5" t="s">
        <v>10</v>
      </c>
      <c r="D18" s="4">
        <v>4</v>
      </c>
      <c r="E18" s="5"/>
      <c r="F18" s="4"/>
      <c r="G18" s="4"/>
      <c r="H18" s="4"/>
      <c r="I18" s="4"/>
      <c r="J18" s="4"/>
      <c r="K18" s="4"/>
    </row>
    <row r="19" spans="1:11" ht="19.5" customHeight="1" x14ac:dyDescent="0.3">
      <c r="A19" s="5"/>
      <c r="B19" s="8" t="s">
        <v>240</v>
      </c>
      <c r="C19" s="5"/>
      <c r="D19" s="5"/>
      <c r="E19" s="5"/>
      <c r="F19" s="4"/>
      <c r="G19" s="5"/>
      <c r="H19" s="4"/>
      <c r="I19" s="5"/>
      <c r="J19" s="4"/>
      <c r="K19" s="4"/>
    </row>
    <row r="20" spans="1:11" ht="20.25" customHeight="1" x14ac:dyDescent="0.3">
      <c r="A20" s="103">
        <v>1</v>
      </c>
      <c r="B20" s="34" t="s">
        <v>241</v>
      </c>
      <c r="C20" s="61" t="s">
        <v>8</v>
      </c>
      <c r="D20" s="21">
        <v>4</v>
      </c>
      <c r="E20" s="21"/>
      <c r="F20" s="4"/>
      <c r="G20" s="21"/>
      <c r="H20" s="4"/>
      <c r="I20" s="21"/>
      <c r="J20" s="4"/>
      <c r="K20" s="4"/>
    </row>
    <row r="21" spans="1:11" ht="30" customHeight="1" x14ac:dyDescent="0.3">
      <c r="A21" s="103">
        <v>2</v>
      </c>
      <c r="B21" s="34" t="s">
        <v>242</v>
      </c>
      <c r="C21" s="61" t="s">
        <v>8</v>
      </c>
      <c r="D21" s="21">
        <v>1.8</v>
      </c>
      <c r="E21" s="21"/>
      <c r="F21" s="4"/>
      <c r="G21" s="21"/>
      <c r="H21" s="4"/>
      <c r="I21" s="21"/>
      <c r="J21" s="4"/>
      <c r="K21" s="4"/>
    </row>
    <row r="22" spans="1:11" ht="21" customHeight="1" x14ac:dyDescent="0.3">
      <c r="A22" s="103">
        <v>3</v>
      </c>
      <c r="B22" s="34" t="s">
        <v>243</v>
      </c>
      <c r="C22" s="61" t="s">
        <v>8</v>
      </c>
      <c r="D22" s="21">
        <f>0.5*0.6</f>
        <v>0.3</v>
      </c>
      <c r="E22" s="21"/>
      <c r="F22" s="4"/>
      <c r="G22" s="21"/>
      <c r="H22" s="4"/>
      <c r="I22" s="21"/>
      <c r="J22" s="4"/>
      <c r="K22" s="4"/>
    </row>
    <row r="23" spans="1:11" ht="15" customHeight="1" x14ac:dyDescent="0.3">
      <c r="A23" s="103"/>
      <c r="B23" s="104" t="s">
        <v>244</v>
      </c>
      <c r="C23" s="61" t="s">
        <v>8</v>
      </c>
      <c r="D23" s="21">
        <f>D20*2.05</f>
        <v>8.1999999999999993</v>
      </c>
      <c r="E23" s="21"/>
      <c r="F23" s="4"/>
      <c r="G23" s="21"/>
      <c r="H23" s="4"/>
      <c r="I23" s="21"/>
      <c r="J23" s="4"/>
      <c r="K23" s="4"/>
    </row>
    <row r="24" spans="1:11" ht="15" customHeight="1" x14ac:dyDescent="0.3">
      <c r="A24" s="103"/>
      <c r="B24" s="104" t="s">
        <v>245</v>
      </c>
      <c r="C24" s="61" t="s">
        <v>8</v>
      </c>
      <c r="D24" s="21">
        <f>D21*2.1</f>
        <v>3.7800000000000002</v>
      </c>
      <c r="E24" s="21"/>
      <c r="F24" s="4"/>
      <c r="G24" s="21"/>
      <c r="H24" s="4"/>
      <c r="I24" s="21"/>
      <c r="J24" s="4"/>
      <c r="K24" s="4"/>
    </row>
    <row r="25" spans="1:11" ht="15" customHeight="1" x14ac:dyDescent="0.3">
      <c r="A25" s="105"/>
      <c r="B25" s="71" t="s">
        <v>246</v>
      </c>
      <c r="C25" s="61" t="s">
        <v>8</v>
      </c>
      <c r="D25" s="21">
        <f>D20+D21</f>
        <v>5.8</v>
      </c>
      <c r="E25" s="21"/>
      <c r="F25" s="4"/>
      <c r="G25" s="21"/>
      <c r="H25" s="4"/>
      <c r="I25" s="21"/>
      <c r="J25" s="4"/>
      <c r="K25" s="4"/>
    </row>
    <row r="26" spans="1:11" ht="15" customHeight="1" x14ac:dyDescent="0.3">
      <c r="A26" s="105"/>
      <c r="B26" s="71" t="s">
        <v>247</v>
      </c>
      <c r="C26" s="61" t="s">
        <v>8</v>
      </c>
      <c r="D26" s="21">
        <f>D20+D21</f>
        <v>5.8</v>
      </c>
      <c r="E26" s="21"/>
      <c r="F26" s="4"/>
      <c r="G26" s="21"/>
      <c r="H26" s="4"/>
      <c r="I26" s="21"/>
      <c r="J26" s="4"/>
      <c r="K26" s="4"/>
    </row>
    <row r="27" spans="1:11" ht="15" customHeight="1" x14ac:dyDescent="0.3">
      <c r="A27" s="105"/>
      <c r="B27" s="71" t="s">
        <v>248</v>
      </c>
      <c r="C27" s="61" t="s">
        <v>8</v>
      </c>
      <c r="D27" s="21">
        <v>0.3</v>
      </c>
      <c r="E27" s="21"/>
      <c r="F27" s="4"/>
      <c r="G27" s="21"/>
      <c r="H27" s="4"/>
      <c r="I27" s="21"/>
      <c r="J27" s="4"/>
      <c r="K27" s="4"/>
    </row>
    <row r="28" spans="1:11" ht="15" customHeight="1" x14ac:dyDescent="0.3">
      <c r="A28" s="105"/>
      <c r="B28" s="71" t="s">
        <v>24</v>
      </c>
      <c r="C28" s="61" t="s">
        <v>10</v>
      </c>
      <c r="D28" s="21">
        <f>(D21+D20+D22)*0.5</f>
        <v>3.05</v>
      </c>
      <c r="E28" s="21"/>
      <c r="F28" s="4"/>
      <c r="G28" s="21"/>
      <c r="H28" s="4"/>
      <c r="I28" s="21"/>
      <c r="J28" s="4"/>
      <c r="K28" s="4"/>
    </row>
    <row r="29" spans="1:11" ht="33.75" customHeight="1" x14ac:dyDescent="0.3">
      <c r="A29" s="105">
        <v>4</v>
      </c>
      <c r="B29" s="34" t="s">
        <v>249</v>
      </c>
      <c r="C29" s="61" t="s">
        <v>8</v>
      </c>
      <c r="D29" s="21">
        <v>3.2</v>
      </c>
      <c r="E29" s="21"/>
      <c r="F29" s="4"/>
      <c r="G29" s="21"/>
      <c r="H29" s="4"/>
      <c r="I29" s="21"/>
      <c r="J29" s="4"/>
      <c r="K29" s="4"/>
    </row>
    <row r="30" spans="1:11" ht="18.75" customHeight="1" x14ac:dyDescent="0.3">
      <c r="A30" s="105"/>
      <c r="B30" s="22" t="s">
        <v>250</v>
      </c>
      <c r="C30" s="61" t="s">
        <v>8</v>
      </c>
      <c r="D30" s="21">
        <v>4</v>
      </c>
      <c r="E30" s="21"/>
      <c r="F30" s="4"/>
      <c r="G30" s="21"/>
      <c r="H30" s="4"/>
      <c r="I30" s="21"/>
      <c r="J30" s="4"/>
      <c r="K30" s="4"/>
    </row>
    <row r="31" spans="1:11" ht="18.75" customHeight="1" x14ac:dyDescent="0.3">
      <c r="A31" s="105"/>
      <c r="B31" s="22" t="s">
        <v>251</v>
      </c>
      <c r="C31" s="61" t="s">
        <v>11</v>
      </c>
      <c r="D31" s="21">
        <f>D29*4.5</f>
        <v>14.4</v>
      </c>
      <c r="E31" s="21"/>
      <c r="F31" s="4"/>
      <c r="G31" s="21"/>
      <c r="H31" s="4"/>
      <c r="I31" s="21"/>
      <c r="J31" s="4"/>
      <c r="K31" s="4"/>
    </row>
    <row r="32" spans="1:11" ht="18.75" customHeight="1" x14ac:dyDescent="0.3">
      <c r="A32" s="105"/>
      <c r="B32" s="22" t="s">
        <v>252</v>
      </c>
      <c r="C32" s="61" t="s">
        <v>11</v>
      </c>
      <c r="D32" s="21">
        <f>D29*0.04</f>
        <v>0.128</v>
      </c>
      <c r="E32" s="21"/>
      <c r="F32" s="4"/>
      <c r="G32" s="21"/>
      <c r="H32" s="4"/>
      <c r="I32" s="21"/>
      <c r="J32" s="4"/>
      <c r="K32" s="4"/>
    </row>
    <row r="33" spans="1:11" ht="18.75" customHeight="1" x14ac:dyDescent="0.3">
      <c r="A33" s="105"/>
      <c r="B33" s="22" t="s">
        <v>253</v>
      </c>
      <c r="C33" s="61" t="s">
        <v>9</v>
      </c>
      <c r="D33" s="21">
        <f>D30*2</f>
        <v>8</v>
      </c>
      <c r="E33" s="21"/>
      <c r="F33" s="4"/>
      <c r="G33" s="21"/>
      <c r="H33" s="4"/>
      <c r="I33" s="21"/>
      <c r="J33" s="4"/>
      <c r="K33" s="4"/>
    </row>
    <row r="34" spans="1:11" ht="18.75" customHeight="1" x14ac:dyDescent="0.3">
      <c r="A34" s="105"/>
      <c r="B34" s="22" t="s">
        <v>48</v>
      </c>
      <c r="C34" s="61" t="s">
        <v>49</v>
      </c>
      <c r="D34" s="21">
        <f>D29*0.1</f>
        <v>0.32000000000000006</v>
      </c>
      <c r="E34" s="21"/>
      <c r="F34" s="4"/>
      <c r="G34" s="21"/>
      <c r="H34" s="4"/>
      <c r="I34" s="21"/>
      <c r="J34" s="4"/>
      <c r="K34" s="4"/>
    </row>
    <row r="35" spans="1:11" ht="18.75" customHeight="1" x14ac:dyDescent="0.3">
      <c r="A35" s="105"/>
      <c r="B35" s="22" t="s">
        <v>24</v>
      </c>
      <c r="C35" s="61" t="s">
        <v>10</v>
      </c>
      <c r="D35" s="21">
        <f>D30*0.08</f>
        <v>0.32</v>
      </c>
      <c r="E35" s="21"/>
      <c r="F35" s="4"/>
      <c r="G35" s="21"/>
      <c r="H35" s="4"/>
      <c r="I35" s="21"/>
      <c r="J35" s="4"/>
      <c r="K35" s="4"/>
    </row>
    <row r="36" spans="1:11" ht="18.75" customHeight="1" x14ac:dyDescent="0.3">
      <c r="A36" s="105">
        <v>5</v>
      </c>
      <c r="B36" s="34" t="s">
        <v>254</v>
      </c>
      <c r="C36" s="61" t="s">
        <v>8</v>
      </c>
      <c r="D36" s="21">
        <f>1.8+2.3</f>
        <v>4.0999999999999996</v>
      </c>
      <c r="E36" s="21"/>
      <c r="F36" s="4"/>
      <c r="G36" s="21"/>
      <c r="H36" s="4"/>
      <c r="I36" s="21"/>
      <c r="J36" s="4"/>
      <c r="K36" s="4"/>
    </row>
    <row r="37" spans="1:11" ht="15.75" customHeight="1" x14ac:dyDescent="0.3">
      <c r="A37" s="105"/>
      <c r="B37" s="106" t="s">
        <v>255</v>
      </c>
      <c r="C37" s="61" t="s">
        <v>8</v>
      </c>
      <c r="D37" s="21">
        <v>1.7</v>
      </c>
      <c r="E37" s="21"/>
      <c r="F37" s="4"/>
      <c r="G37" s="21"/>
      <c r="H37" s="4"/>
      <c r="I37" s="21"/>
      <c r="J37" s="4"/>
      <c r="K37" s="4"/>
    </row>
    <row r="38" spans="1:11" ht="17.25" customHeight="1" x14ac:dyDescent="0.3">
      <c r="A38" s="105"/>
      <c r="B38" s="107" t="s">
        <v>256</v>
      </c>
      <c r="C38" s="61" t="s">
        <v>19</v>
      </c>
      <c r="D38" s="21">
        <v>4</v>
      </c>
      <c r="E38" s="21"/>
      <c r="F38" s="4"/>
      <c r="G38" s="21"/>
      <c r="H38" s="4"/>
      <c r="I38" s="21"/>
      <c r="J38" s="4"/>
      <c r="K38" s="4"/>
    </row>
    <row r="39" spans="1:11" ht="17.25" customHeight="1" x14ac:dyDescent="0.3">
      <c r="A39" s="105"/>
      <c r="B39" s="22" t="s">
        <v>257</v>
      </c>
      <c r="C39" s="61" t="s">
        <v>19</v>
      </c>
      <c r="D39" s="21">
        <v>1</v>
      </c>
      <c r="E39" s="21"/>
      <c r="F39" s="4"/>
      <c r="G39" s="21"/>
      <c r="H39" s="4"/>
      <c r="I39" s="21"/>
      <c r="J39" s="4"/>
      <c r="K39" s="4"/>
    </row>
    <row r="40" spans="1:11" ht="17.25" customHeight="1" x14ac:dyDescent="0.3">
      <c r="A40" s="105"/>
      <c r="B40" s="22" t="s">
        <v>24</v>
      </c>
      <c r="C40" s="61" t="s">
        <v>10</v>
      </c>
      <c r="D40" s="21">
        <v>3</v>
      </c>
      <c r="E40" s="21"/>
      <c r="F40" s="4"/>
      <c r="G40" s="21"/>
      <c r="H40" s="4"/>
      <c r="I40" s="21"/>
      <c r="J40" s="4"/>
      <c r="K40" s="4"/>
    </row>
    <row r="41" spans="1:11" ht="21.75" customHeight="1" x14ac:dyDescent="0.3">
      <c r="A41" s="105">
        <v>6</v>
      </c>
      <c r="B41" s="34" t="s">
        <v>258</v>
      </c>
      <c r="C41" s="61" t="s">
        <v>8</v>
      </c>
      <c r="D41" s="21">
        <v>25</v>
      </c>
      <c r="E41" s="21"/>
      <c r="F41" s="4"/>
      <c r="G41" s="123"/>
      <c r="H41" s="4"/>
      <c r="I41" s="21"/>
      <c r="J41" s="4"/>
      <c r="K41" s="4"/>
    </row>
    <row r="42" spans="1:11" ht="15.75" customHeight="1" x14ac:dyDescent="0.3">
      <c r="A42" s="105"/>
      <c r="B42" s="22" t="s">
        <v>56</v>
      </c>
      <c r="C42" s="61" t="s">
        <v>11</v>
      </c>
      <c r="D42" s="21">
        <f>D41*0.5</f>
        <v>12.5</v>
      </c>
      <c r="E42" s="21"/>
      <c r="F42" s="4"/>
      <c r="G42" s="21"/>
      <c r="H42" s="4"/>
      <c r="I42" s="21"/>
      <c r="J42" s="4"/>
      <c r="K42" s="4"/>
    </row>
    <row r="43" spans="1:11" ht="15.75" customHeight="1" x14ac:dyDescent="0.3">
      <c r="A43" s="105"/>
      <c r="B43" s="22" t="s">
        <v>259</v>
      </c>
      <c r="C43" s="61" t="s">
        <v>11</v>
      </c>
      <c r="D43" s="21">
        <f>D41*0.4</f>
        <v>10</v>
      </c>
      <c r="E43" s="21"/>
      <c r="F43" s="4"/>
      <c r="G43" s="21"/>
      <c r="H43" s="4"/>
      <c r="I43" s="21"/>
      <c r="J43" s="4"/>
      <c r="K43" s="4"/>
    </row>
    <row r="44" spans="1:11" ht="15.75" customHeight="1" x14ac:dyDescent="0.3">
      <c r="A44" s="105"/>
      <c r="B44" s="22" t="s">
        <v>260</v>
      </c>
      <c r="C44" s="61" t="s">
        <v>8</v>
      </c>
      <c r="D44" s="21">
        <f>D41*0.009</f>
        <v>0.22499999999999998</v>
      </c>
      <c r="E44" s="21"/>
      <c r="F44" s="4"/>
      <c r="G44" s="21"/>
      <c r="H44" s="4"/>
      <c r="I44" s="21"/>
      <c r="J44" s="4"/>
      <c r="K44" s="4"/>
    </row>
    <row r="45" spans="1:11" ht="15.75" customHeight="1" x14ac:dyDescent="0.3">
      <c r="A45" s="105"/>
      <c r="B45" s="108" t="s">
        <v>261</v>
      </c>
      <c r="C45" s="61" t="s">
        <v>9</v>
      </c>
      <c r="D45" s="109">
        <f>D41*0.5</f>
        <v>12.5</v>
      </c>
      <c r="E45" s="21"/>
      <c r="F45" s="4"/>
      <c r="G45" s="21"/>
      <c r="H45" s="4"/>
      <c r="I45" s="21"/>
      <c r="J45" s="4"/>
      <c r="K45" s="4"/>
    </row>
    <row r="46" spans="1:11" ht="15.75" customHeight="1" x14ac:dyDescent="0.3">
      <c r="A46" s="105"/>
      <c r="B46" s="108" t="s">
        <v>262</v>
      </c>
      <c r="C46" s="61" t="s">
        <v>9</v>
      </c>
      <c r="D46" s="109">
        <f>D41*0.4</f>
        <v>10</v>
      </c>
      <c r="E46" s="21"/>
      <c r="F46" s="4"/>
      <c r="G46" s="21"/>
      <c r="H46" s="4"/>
      <c r="I46" s="21"/>
      <c r="J46" s="4"/>
      <c r="K46" s="4"/>
    </row>
    <row r="47" spans="1:11" ht="15.75" customHeight="1" x14ac:dyDescent="0.3">
      <c r="A47" s="105"/>
      <c r="B47" s="108" t="s">
        <v>24</v>
      </c>
      <c r="C47" s="61" t="s">
        <v>10</v>
      </c>
      <c r="D47" s="21">
        <f>D41*0.01</f>
        <v>0.25</v>
      </c>
      <c r="E47" s="21"/>
      <c r="F47" s="4"/>
      <c r="G47" s="21"/>
      <c r="H47" s="4"/>
      <c r="I47" s="21"/>
      <c r="J47" s="4"/>
      <c r="K47" s="4"/>
    </row>
    <row r="48" spans="1:11" ht="19.5" customHeight="1" x14ac:dyDescent="0.3">
      <c r="A48" s="105">
        <v>7</v>
      </c>
      <c r="B48" s="110" t="s">
        <v>263</v>
      </c>
      <c r="C48" s="61"/>
      <c r="D48" s="61"/>
      <c r="E48" s="61"/>
      <c r="F48" s="4"/>
      <c r="G48" s="61"/>
      <c r="H48" s="4"/>
      <c r="I48" s="61"/>
      <c r="J48" s="4"/>
      <c r="K48" s="4"/>
    </row>
    <row r="49" spans="1:11" ht="18.75" customHeight="1" x14ac:dyDescent="0.3">
      <c r="A49" s="105"/>
      <c r="B49" s="111" t="s">
        <v>264</v>
      </c>
      <c r="C49" s="61" t="s">
        <v>9</v>
      </c>
      <c r="D49" s="21">
        <v>2</v>
      </c>
      <c r="E49" s="21"/>
      <c r="F49" s="4"/>
      <c r="G49" s="21"/>
      <c r="H49" s="4"/>
      <c r="I49" s="21"/>
      <c r="J49" s="4"/>
      <c r="K49" s="4"/>
    </row>
    <row r="50" spans="1:11" ht="18.75" customHeight="1" x14ac:dyDescent="0.3">
      <c r="A50" s="105"/>
      <c r="B50" s="111" t="s">
        <v>265</v>
      </c>
      <c r="C50" s="61" t="s">
        <v>9</v>
      </c>
      <c r="D50" s="21">
        <v>2</v>
      </c>
      <c r="E50" s="21"/>
      <c r="F50" s="4"/>
      <c r="G50" s="21"/>
      <c r="H50" s="4"/>
      <c r="I50" s="21"/>
      <c r="J50" s="4"/>
      <c r="K50" s="4"/>
    </row>
    <row r="51" spans="1:11" ht="18.75" customHeight="1" x14ac:dyDescent="0.3">
      <c r="A51" s="105"/>
      <c r="B51" s="111" t="s">
        <v>266</v>
      </c>
      <c r="C51" s="61" t="s">
        <v>49</v>
      </c>
      <c r="D51" s="21">
        <v>2</v>
      </c>
      <c r="E51" s="21"/>
      <c r="F51" s="4"/>
      <c r="G51" s="21"/>
      <c r="H51" s="4"/>
      <c r="I51" s="21"/>
      <c r="J51" s="4"/>
      <c r="K51" s="4"/>
    </row>
    <row r="52" spans="1:11" ht="18.75" customHeight="1" x14ac:dyDescent="0.3">
      <c r="A52" s="105"/>
      <c r="B52" s="111" t="s">
        <v>267</v>
      </c>
      <c r="C52" s="61" t="s">
        <v>49</v>
      </c>
      <c r="D52" s="21">
        <v>4</v>
      </c>
      <c r="E52" s="21"/>
      <c r="F52" s="4"/>
      <c r="G52" s="21"/>
      <c r="H52" s="4"/>
      <c r="I52" s="21"/>
      <c r="J52" s="4"/>
      <c r="K52" s="4"/>
    </row>
    <row r="53" spans="1:11" ht="19.5" customHeight="1" x14ac:dyDescent="0.3">
      <c r="A53" s="105">
        <v>8</v>
      </c>
      <c r="B53" s="112" t="s">
        <v>268</v>
      </c>
      <c r="C53" s="61"/>
      <c r="D53" s="21"/>
      <c r="E53" s="21"/>
      <c r="F53" s="4"/>
      <c r="G53" s="21"/>
      <c r="H53" s="4"/>
      <c r="I53" s="21"/>
      <c r="J53" s="4"/>
      <c r="K53" s="4"/>
    </row>
    <row r="54" spans="1:11" ht="19.5" customHeight="1" x14ac:dyDescent="0.3">
      <c r="A54" s="105"/>
      <c r="B54" s="111" t="s">
        <v>269</v>
      </c>
      <c r="C54" s="61" t="s">
        <v>9</v>
      </c>
      <c r="D54" s="21">
        <v>2.5</v>
      </c>
      <c r="E54" s="21"/>
      <c r="F54" s="4"/>
      <c r="G54" s="21"/>
      <c r="H54" s="4"/>
      <c r="I54" s="21"/>
      <c r="J54" s="4"/>
      <c r="K54" s="4"/>
    </row>
    <row r="55" spans="1:11" ht="31.5" customHeight="1" x14ac:dyDescent="0.3">
      <c r="A55" s="105"/>
      <c r="B55" s="111" t="s">
        <v>270</v>
      </c>
      <c r="C55" s="61" t="s">
        <v>49</v>
      </c>
      <c r="D55" s="21">
        <v>1</v>
      </c>
      <c r="E55" s="21"/>
      <c r="F55" s="4"/>
      <c r="G55" s="21"/>
      <c r="H55" s="4"/>
      <c r="I55" s="21"/>
      <c r="J55" s="4"/>
      <c r="K55" s="4"/>
    </row>
    <row r="56" spans="1:11" ht="19.5" customHeight="1" x14ac:dyDescent="0.3">
      <c r="A56" s="105"/>
      <c r="B56" s="111" t="s">
        <v>271</v>
      </c>
      <c r="C56" s="61" t="s">
        <v>49</v>
      </c>
      <c r="D56" s="21">
        <v>3</v>
      </c>
      <c r="E56" s="21"/>
      <c r="F56" s="4"/>
      <c r="G56" s="21"/>
      <c r="H56" s="4"/>
      <c r="I56" s="21"/>
      <c r="J56" s="4"/>
      <c r="K56" s="4"/>
    </row>
    <row r="57" spans="1:11" ht="19.5" customHeight="1" x14ac:dyDescent="0.3">
      <c r="A57" s="105">
        <v>9</v>
      </c>
      <c r="B57" s="110" t="s">
        <v>272</v>
      </c>
      <c r="C57" s="61"/>
      <c r="D57" s="21"/>
      <c r="E57" s="21"/>
      <c r="F57" s="4"/>
      <c r="G57" s="21"/>
      <c r="H57" s="4"/>
      <c r="I57" s="21"/>
      <c r="J57" s="4"/>
      <c r="K57" s="4"/>
    </row>
    <row r="58" spans="1:11" ht="31.5" customHeight="1" x14ac:dyDescent="0.3">
      <c r="A58" s="105"/>
      <c r="B58" s="111" t="s">
        <v>273</v>
      </c>
      <c r="C58" s="113" t="s">
        <v>9</v>
      </c>
      <c r="D58" s="75">
        <v>12</v>
      </c>
      <c r="E58" s="75"/>
      <c r="F58" s="4"/>
      <c r="G58" s="75"/>
      <c r="H58" s="4"/>
      <c r="I58" s="21"/>
      <c r="J58" s="4"/>
      <c r="K58" s="4"/>
    </row>
    <row r="59" spans="1:11" ht="31.5" customHeight="1" x14ac:dyDescent="0.3">
      <c r="A59" s="105"/>
      <c r="B59" s="111" t="s">
        <v>216</v>
      </c>
      <c r="C59" s="113" t="s">
        <v>9</v>
      </c>
      <c r="D59" s="75">
        <v>8</v>
      </c>
      <c r="E59" s="75"/>
      <c r="F59" s="4"/>
      <c r="G59" s="75"/>
      <c r="H59" s="4"/>
      <c r="I59" s="21"/>
      <c r="J59" s="4"/>
      <c r="K59" s="4"/>
    </row>
    <row r="60" spans="1:11" ht="19.5" customHeight="1" x14ac:dyDescent="0.3">
      <c r="A60" s="105"/>
      <c r="B60" s="114" t="s">
        <v>274</v>
      </c>
      <c r="C60" s="113" t="s">
        <v>49</v>
      </c>
      <c r="D60" s="75">
        <v>1</v>
      </c>
      <c r="E60" s="75"/>
      <c r="F60" s="4"/>
      <c r="G60" s="75"/>
      <c r="H60" s="4"/>
      <c r="I60" s="75"/>
      <c r="J60" s="4"/>
      <c r="K60" s="4"/>
    </row>
    <row r="61" spans="1:11" ht="19.5" customHeight="1" x14ac:dyDescent="0.3">
      <c r="A61" s="105"/>
      <c r="B61" s="111" t="s">
        <v>275</v>
      </c>
      <c r="C61" s="61" t="s">
        <v>49</v>
      </c>
      <c r="D61" s="75">
        <v>2</v>
      </c>
      <c r="E61" s="75"/>
      <c r="F61" s="4"/>
      <c r="G61" s="75"/>
      <c r="H61" s="4"/>
      <c r="I61" s="75"/>
      <c r="J61" s="4"/>
      <c r="K61" s="4"/>
    </row>
    <row r="62" spans="1:11" ht="19.5" customHeight="1" x14ac:dyDescent="0.3">
      <c r="A62" s="105"/>
      <c r="B62" s="108" t="s">
        <v>193</v>
      </c>
      <c r="C62" s="61" t="s">
        <v>10</v>
      </c>
      <c r="D62" s="75">
        <v>1</v>
      </c>
      <c r="E62" s="75"/>
      <c r="F62" s="4"/>
      <c r="G62" s="75"/>
      <c r="H62" s="4"/>
      <c r="I62" s="75"/>
      <c r="J62" s="4"/>
      <c r="K62" s="4"/>
    </row>
    <row r="63" spans="1:11" ht="19.5" customHeight="1" x14ac:dyDescent="0.3">
      <c r="A63" s="105">
        <v>10</v>
      </c>
      <c r="B63" s="34" t="s">
        <v>276</v>
      </c>
      <c r="C63" s="115"/>
      <c r="D63" s="116"/>
      <c r="E63" s="115"/>
      <c r="F63" s="4"/>
      <c r="G63" s="116"/>
      <c r="H63" s="4"/>
      <c r="I63" s="116"/>
      <c r="J63" s="4"/>
      <c r="K63" s="4"/>
    </row>
    <row r="64" spans="1:11" ht="19.5" customHeight="1" x14ac:dyDescent="0.3">
      <c r="A64" s="105"/>
      <c r="B64" s="107" t="s">
        <v>277</v>
      </c>
      <c r="C64" s="61" t="s">
        <v>49</v>
      </c>
      <c r="D64" s="21">
        <v>1</v>
      </c>
      <c r="E64" s="61"/>
      <c r="F64" s="4"/>
      <c r="G64" s="21"/>
      <c r="H64" s="4"/>
      <c r="I64" s="21"/>
      <c r="J64" s="4"/>
      <c r="K64" s="4"/>
    </row>
    <row r="65" spans="1:11" ht="19.5" customHeight="1" x14ac:dyDescent="0.3">
      <c r="A65" s="105"/>
      <c r="B65" s="22" t="s">
        <v>278</v>
      </c>
      <c r="C65" s="61" t="s">
        <v>49</v>
      </c>
      <c r="D65" s="61">
        <v>1</v>
      </c>
      <c r="E65" s="61"/>
      <c r="F65" s="4"/>
      <c r="G65" s="61"/>
      <c r="H65" s="4"/>
      <c r="I65" s="61"/>
      <c r="J65" s="4"/>
      <c r="K65" s="4"/>
    </row>
    <row r="66" spans="1:11" ht="18.75" customHeight="1" x14ac:dyDescent="0.3">
      <c r="A66" s="105"/>
      <c r="B66" s="107" t="s">
        <v>279</v>
      </c>
      <c r="C66" s="61" t="s">
        <v>10</v>
      </c>
      <c r="D66" s="21">
        <v>4</v>
      </c>
      <c r="E66" s="61"/>
      <c r="F66" s="4"/>
      <c r="G66" s="21"/>
      <c r="H66" s="4"/>
      <c r="I66" s="21"/>
      <c r="J66" s="4"/>
      <c r="K66" s="4"/>
    </row>
    <row r="67" spans="1:11" x14ac:dyDescent="0.3">
      <c r="A67" s="5"/>
      <c r="B67" s="3" t="s">
        <v>6</v>
      </c>
      <c r="C67" s="5"/>
      <c r="D67" s="4"/>
      <c r="E67" s="4"/>
      <c r="F67" s="4">
        <f>SUM(F13:F66)</f>
        <v>0</v>
      </c>
      <c r="G67" s="4"/>
      <c r="H67" s="4">
        <f>SUM(H13:H66)</f>
        <v>0</v>
      </c>
      <c r="I67" s="4"/>
      <c r="J67" s="4">
        <f>SUM(J13:J66)</f>
        <v>0</v>
      </c>
      <c r="K67" s="64">
        <f>SUM(K13:K66)</f>
        <v>0</v>
      </c>
    </row>
    <row r="68" spans="1:11" x14ac:dyDescent="0.3">
      <c r="A68" s="6"/>
      <c r="B68" s="10" t="s">
        <v>12</v>
      </c>
      <c r="C68" s="63"/>
      <c r="D68" s="12"/>
      <c r="E68" s="11"/>
      <c r="F68" s="12"/>
      <c r="G68" s="12"/>
      <c r="H68" s="12"/>
      <c r="I68" s="12"/>
      <c r="J68" s="11"/>
      <c r="K68" s="12">
        <f>F67*C68</f>
        <v>0</v>
      </c>
    </row>
    <row r="69" spans="1:11" x14ac:dyDescent="0.3">
      <c r="A69" s="6"/>
      <c r="B69" s="10" t="s">
        <v>6</v>
      </c>
      <c r="C69" s="11"/>
      <c r="D69" s="12"/>
      <c r="E69" s="11"/>
      <c r="F69" s="11"/>
      <c r="G69" s="12"/>
      <c r="H69" s="12"/>
      <c r="I69" s="12"/>
      <c r="J69" s="11"/>
      <c r="K69" s="12">
        <f>K67+K68</f>
        <v>0</v>
      </c>
    </row>
    <row r="70" spans="1:11" x14ac:dyDescent="0.3">
      <c r="A70" s="6"/>
      <c r="B70" s="10" t="s">
        <v>13</v>
      </c>
      <c r="C70" s="124"/>
      <c r="D70" s="12"/>
      <c r="E70" s="11"/>
      <c r="F70" s="11"/>
      <c r="G70" s="12"/>
      <c r="H70" s="12"/>
      <c r="I70" s="12"/>
      <c r="J70" s="11"/>
      <c r="K70" s="12">
        <f>K69*C70</f>
        <v>0</v>
      </c>
    </row>
    <row r="71" spans="1:11" x14ac:dyDescent="0.3">
      <c r="A71" s="6"/>
      <c r="B71" s="10" t="s">
        <v>6</v>
      </c>
      <c r="C71" s="11"/>
      <c r="D71" s="12"/>
      <c r="E71" s="11"/>
      <c r="F71" s="11"/>
      <c r="G71" s="12"/>
      <c r="H71" s="12"/>
      <c r="I71" s="12"/>
      <c r="J71" s="11"/>
      <c r="K71" s="12">
        <f>K70+K69</f>
        <v>0</v>
      </c>
    </row>
    <row r="72" spans="1:11" x14ac:dyDescent="0.3">
      <c r="A72" s="6"/>
      <c r="B72" s="10" t="s">
        <v>14</v>
      </c>
      <c r="C72" s="124"/>
      <c r="D72" s="12"/>
      <c r="E72" s="11"/>
      <c r="F72" s="11"/>
      <c r="G72" s="12"/>
      <c r="H72" s="12"/>
      <c r="I72" s="12"/>
      <c r="J72" s="11"/>
      <c r="K72" s="12">
        <f>K71*C72</f>
        <v>0</v>
      </c>
    </row>
    <row r="73" spans="1:11" x14ac:dyDescent="0.3">
      <c r="A73" s="117"/>
      <c r="B73" s="10" t="s">
        <v>6</v>
      </c>
      <c r="C73" s="11"/>
      <c r="D73" s="12"/>
      <c r="E73" s="11"/>
      <c r="F73" s="11"/>
      <c r="G73" s="12"/>
      <c r="H73" s="12"/>
      <c r="I73" s="12"/>
      <c r="J73" s="11"/>
      <c r="K73" s="12">
        <f>K72+K71</f>
        <v>0</v>
      </c>
    </row>
    <row r="74" spans="1:11" x14ac:dyDescent="0.3">
      <c r="A74" s="117"/>
      <c r="B74" s="10" t="s">
        <v>280</v>
      </c>
      <c r="C74" s="63">
        <v>0.02</v>
      </c>
      <c r="D74" s="12"/>
      <c r="E74" s="11"/>
      <c r="F74" s="11"/>
      <c r="G74" s="12"/>
      <c r="H74" s="12"/>
      <c r="I74" s="12"/>
      <c r="J74" s="11"/>
      <c r="K74" s="12">
        <f>H67*C74</f>
        <v>0</v>
      </c>
    </row>
    <row r="75" spans="1:11" x14ac:dyDescent="0.3">
      <c r="A75" s="117"/>
      <c r="B75" s="10" t="s">
        <v>6</v>
      </c>
      <c r="C75" s="11"/>
      <c r="D75" s="12"/>
      <c r="E75" s="11"/>
      <c r="F75" s="11"/>
      <c r="G75" s="12"/>
      <c r="H75" s="12"/>
      <c r="I75" s="12"/>
      <c r="J75" s="11"/>
      <c r="K75" s="12">
        <f>K74+K73</f>
        <v>0</v>
      </c>
    </row>
    <row r="76" spans="1:11" x14ac:dyDescent="0.3">
      <c r="A76" s="6"/>
      <c r="B76" s="6" t="s">
        <v>15</v>
      </c>
      <c r="C76" s="63">
        <v>0.18</v>
      </c>
      <c r="D76" s="12"/>
      <c r="E76" s="11"/>
      <c r="F76" s="11"/>
      <c r="G76" s="11"/>
      <c r="H76" s="11"/>
      <c r="I76" s="11"/>
      <c r="J76" s="11"/>
      <c r="K76" s="12">
        <f>K75*C76</f>
        <v>0</v>
      </c>
    </row>
    <row r="77" spans="1:11" x14ac:dyDescent="0.3">
      <c r="A77" s="5"/>
      <c r="B77" s="23" t="s">
        <v>16</v>
      </c>
      <c r="C77" s="5"/>
      <c r="D77" s="5"/>
      <c r="E77" s="5"/>
      <c r="F77" s="5"/>
      <c r="G77" s="5"/>
      <c r="H77" s="5"/>
      <c r="I77" s="5"/>
      <c r="J77" s="5"/>
      <c r="K77" s="64">
        <f>K76+K75</f>
        <v>0</v>
      </c>
    </row>
  </sheetData>
  <mergeCells count="13">
    <mergeCell ref="G9:H9"/>
    <mergeCell ref="I9:J9"/>
    <mergeCell ref="K9:K10"/>
    <mergeCell ref="I3:K3"/>
    <mergeCell ref="H4:K4"/>
    <mergeCell ref="A7:K7"/>
    <mergeCell ref="C8:I8"/>
    <mergeCell ref="J8:K8"/>
    <mergeCell ref="A9:A10"/>
    <mergeCell ref="B9:B10"/>
    <mergeCell ref="C9:C10"/>
    <mergeCell ref="D9:D10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32"/>
  <sheetViews>
    <sheetView topLeftCell="A7" zoomScaleNormal="100" workbookViewId="0">
      <selection activeCell="H25" sqref="H25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51"/>
      <c r="K1" s="151"/>
    </row>
    <row r="2" spans="1:11" ht="18" customHeight="1" x14ac:dyDescent="0.3">
      <c r="A2" s="15"/>
      <c r="B2" s="161" t="s">
        <v>106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38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K32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124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34">
        <v>1</v>
      </c>
      <c r="B9" s="34" t="s">
        <v>290</v>
      </c>
      <c r="C9" s="8" t="s">
        <v>8</v>
      </c>
      <c r="D9" s="82">
        <v>234</v>
      </c>
      <c r="E9" s="21"/>
      <c r="F9" s="4"/>
      <c r="G9" s="123"/>
      <c r="H9" s="4"/>
      <c r="I9" s="21"/>
      <c r="J9" s="4"/>
      <c r="K9" s="4"/>
    </row>
    <row r="10" spans="1:11" x14ac:dyDescent="0.3">
      <c r="A10" s="135"/>
      <c r="B10" s="22" t="s">
        <v>47</v>
      </c>
      <c r="C10" s="44" t="s">
        <v>11</v>
      </c>
      <c r="D10" s="12">
        <f>0.4*D9</f>
        <v>93.600000000000009</v>
      </c>
      <c r="E10" s="50"/>
      <c r="F10" s="12"/>
      <c r="G10" s="42"/>
      <c r="H10" s="4"/>
      <c r="I10" s="42"/>
      <c r="J10" s="4"/>
      <c r="K10" s="4"/>
    </row>
    <row r="11" spans="1:11" x14ac:dyDescent="0.3">
      <c r="A11" s="135"/>
      <c r="B11" s="45" t="s">
        <v>53</v>
      </c>
      <c r="C11" s="44" t="s">
        <v>9</v>
      </c>
      <c r="D11" s="12">
        <f>0.4*D9</f>
        <v>93.600000000000009</v>
      </c>
      <c r="E11" s="50"/>
      <c r="F11" s="12"/>
      <c r="G11" s="42"/>
      <c r="H11" s="4"/>
      <c r="I11" s="42"/>
      <c r="J11" s="4"/>
      <c r="K11" s="4"/>
    </row>
    <row r="12" spans="1:11" x14ac:dyDescent="0.3">
      <c r="A12" s="135"/>
      <c r="B12" s="45" t="s">
        <v>102</v>
      </c>
      <c r="C12" s="44" t="s">
        <v>19</v>
      </c>
      <c r="D12" s="12">
        <v>3</v>
      </c>
      <c r="E12" s="50"/>
      <c r="F12" s="12"/>
      <c r="G12" s="42"/>
      <c r="H12" s="4"/>
      <c r="I12" s="42"/>
      <c r="J12" s="4"/>
      <c r="K12" s="4"/>
    </row>
    <row r="13" spans="1:11" x14ac:dyDescent="0.3">
      <c r="A13" s="135"/>
      <c r="B13" s="45" t="s">
        <v>54</v>
      </c>
      <c r="C13" s="44" t="s">
        <v>9</v>
      </c>
      <c r="D13" s="12">
        <f>0.3*D9</f>
        <v>70.2</v>
      </c>
      <c r="E13" s="50"/>
      <c r="F13" s="12"/>
      <c r="G13" s="42"/>
      <c r="H13" s="4"/>
      <c r="I13" s="42"/>
      <c r="J13" s="4"/>
      <c r="K13" s="4"/>
    </row>
    <row r="14" spans="1:11" x14ac:dyDescent="0.3">
      <c r="A14" s="135"/>
      <c r="B14" s="45" t="s">
        <v>55</v>
      </c>
      <c r="C14" s="44" t="s">
        <v>10</v>
      </c>
      <c r="D14" s="12">
        <f>D9*0.03</f>
        <v>7.02</v>
      </c>
      <c r="E14" s="50"/>
      <c r="F14" s="12"/>
      <c r="G14" s="12"/>
      <c r="H14" s="4"/>
      <c r="I14" s="12"/>
      <c r="J14" s="4"/>
      <c r="K14" s="4"/>
    </row>
    <row r="15" spans="1:11" ht="30" customHeight="1" x14ac:dyDescent="0.3">
      <c r="A15" s="146">
        <v>2</v>
      </c>
      <c r="B15" s="34" t="s">
        <v>291</v>
      </c>
      <c r="C15" s="8" t="s">
        <v>8</v>
      </c>
      <c r="D15" s="82">
        <v>216</v>
      </c>
      <c r="E15" s="21"/>
      <c r="F15" s="4"/>
      <c r="G15" s="123"/>
      <c r="H15" s="4"/>
      <c r="I15" s="21"/>
      <c r="J15" s="4"/>
      <c r="K15" s="4"/>
    </row>
    <row r="16" spans="1:11" x14ac:dyDescent="0.3">
      <c r="A16" s="147"/>
      <c r="B16" s="22" t="s">
        <v>47</v>
      </c>
      <c r="C16" s="5" t="s">
        <v>11</v>
      </c>
      <c r="D16" s="4">
        <f>D15*0.4</f>
        <v>86.4</v>
      </c>
      <c r="E16" s="4"/>
      <c r="F16" s="12"/>
      <c r="G16" s="4"/>
      <c r="H16" s="4"/>
      <c r="I16" s="4"/>
      <c r="J16" s="4"/>
      <c r="K16" s="4"/>
    </row>
    <row r="17" spans="1:11" x14ac:dyDescent="0.3">
      <c r="A17" s="147"/>
      <c r="B17" s="31" t="s">
        <v>52</v>
      </c>
      <c r="C17" s="5" t="s">
        <v>8</v>
      </c>
      <c r="D17" s="32">
        <f>0.009*D15</f>
        <v>1.944</v>
      </c>
      <c r="E17" s="4"/>
      <c r="F17" s="12"/>
      <c r="G17" s="4"/>
      <c r="H17" s="4"/>
      <c r="I17" s="4"/>
      <c r="J17" s="4"/>
      <c r="K17" s="4"/>
    </row>
    <row r="18" spans="1:11" x14ac:dyDescent="0.3">
      <c r="A18" s="147"/>
      <c r="B18" s="3" t="s">
        <v>57</v>
      </c>
      <c r="C18" s="5" t="s">
        <v>9</v>
      </c>
      <c r="D18" s="4">
        <f>0.4*D15</f>
        <v>86.4</v>
      </c>
      <c r="E18" s="4"/>
      <c r="F18" s="12"/>
      <c r="G18" s="4"/>
      <c r="H18" s="4"/>
      <c r="I18" s="4"/>
      <c r="J18" s="4"/>
      <c r="K18" s="4"/>
    </row>
    <row r="19" spans="1:11" x14ac:dyDescent="0.3">
      <c r="A19" s="147"/>
      <c r="B19" s="45" t="s">
        <v>102</v>
      </c>
      <c r="C19" s="44" t="s">
        <v>19</v>
      </c>
      <c r="D19" s="12">
        <v>3</v>
      </c>
      <c r="E19" s="50"/>
      <c r="F19" s="12"/>
      <c r="G19" s="42"/>
      <c r="H19" s="4"/>
      <c r="I19" s="42"/>
      <c r="J19" s="4"/>
      <c r="K19" s="4"/>
    </row>
    <row r="20" spans="1:11" x14ac:dyDescent="0.3">
      <c r="A20" s="147"/>
      <c r="B20" s="3" t="s">
        <v>58</v>
      </c>
      <c r="C20" s="5" t="s">
        <v>10</v>
      </c>
      <c r="D20" s="4">
        <f>D15*0.03</f>
        <v>6.4799999999999995</v>
      </c>
      <c r="E20" s="4"/>
      <c r="F20" s="12"/>
      <c r="G20" s="4"/>
      <c r="H20" s="4"/>
      <c r="I20" s="4"/>
      <c r="J20" s="4"/>
      <c r="K20" s="4"/>
    </row>
    <row r="21" spans="1:11" x14ac:dyDescent="0.3">
      <c r="A21" s="8"/>
      <c r="B21" s="9" t="s">
        <v>6</v>
      </c>
      <c r="C21" s="9"/>
      <c r="D21" s="9"/>
      <c r="E21" s="9"/>
      <c r="F21" s="27">
        <f>SUM(F9:F20)</f>
        <v>0</v>
      </c>
      <c r="G21" s="27"/>
      <c r="H21" s="27">
        <f>SUM(H9:H20)</f>
        <v>0</v>
      </c>
      <c r="I21" s="27"/>
      <c r="J21" s="27">
        <f>SUM(J9:J20)</f>
        <v>0</v>
      </c>
      <c r="K21" s="27">
        <f>SUM(K9:K20)</f>
        <v>0</v>
      </c>
    </row>
    <row r="22" spans="1:11" x14ac:dyDescent="0.3">
      <c r="A22" s="5"/>
      <c r="B22" s="10" t="s">
        <v>12</v>
      </c>
      <c r="C22" s="63"/>
      <c r="D22" s="12"/>
      <c r="E22" s="11"/>
      <c r="F22" s="12"/>
      <c r="G22" s="12"/>
      <c r="H22" s="12"/>
      <c r="I22" s="12"/>
      <c r="J22" s="11"/>
      <c r="K22" s="25">
        <f>F21*C22</f>
        <v>0</v>
      </c>
    </row>
    <row r="23" spans="1:11" x14ac:dyDescent="0.3">
      <c r="A23" s="5"/>
      <c r="B23" s="13" t="s">
        <v>6</v>
      </c>
      <c r="C23" s="11"/>
      <c r="D23" s="12"/>
      <c r="E23" s="11"/>
      <c r="F23" s="11"/>
      <c r="G23" s="12"/>
      <c r="H23" s="12"/>
      <c r="I23" s="12"/>
      <c r="J23" s="11"/>
      <c r="K23" s="25">
        <f>K22+K21</f>
        <v>0</v>
      </c>
    </row>
    <row r="24" spans="1:11" x14ac:dyDescent="0.3">
      <c r="A24" s="5"/>
      <c r="B24" s="10" t="s">
        <v>13</v>
      </c>
      <c r="C24" s="124"/>
      <c r="D24" s="12"/>
      <c r="E24" s="11"/>
      <c r="F24" s="11"/>
      <c r="G24" s="12"/>
      <c r="H24" s="12"/>
      <c r="I24" s="12"/>
      <c r="J24" s="11"/>
      <c r="K24" s="25">
        <f>K23*C24</f>
        <v>0</v>
      </c>
    </row>
    <row r="25" spans="1:11" x14ac:dyDescent="0.3">
      <c r="A25" s="5"/>
      <c r="B25" s="13" t="s">
        <v>6</v>
      </c>
      <c r="C25" s="11"/>
      <c r="D25" s="12"/>
      <c r="E25" s="11"/>
      <c r="F25" s="11"/>
      <c r="G25" s="12"/>
      <c r="H25" s="12"/>
      <c r="I25" s="12"/>
      <c r="J25" s="11"/>
      <c r="K25" s="25">
        <f>SUM(K23:K24)</f>
        <v>0</v>
      </c>
    </row>
    <row r="26" spans="1:11" x14ac:dyDescent="0.3">
      <c r="A26" s="5"/>
      <c r="B26" s="10" t="s">
        <v>14</v>
      </c>
      <c r="C26" s="124"/>
      <c r="D26" s="12"/>
      <c r="E26" s="11"/>
      <c r="F26" s="11"/>
      <c r="G26" s="12"/>
      <c r="H26" s="12"/>
      <c r="I26" s="12"/>
      <c r="J26" s="11"/>
      <c r="K26" s="25">
        <f>K25*C26</f>
        <v>0</v>
      </c>
    </row>
    <row r="27" spans="1:11" x14ac:dyDescent="0.3">
      <c r="A27" s="5"/>
      <c r="B27" s="13" t="s">
        <v>6</v>
      </c>
      <c r="C27" s="11"/>
      <c r="D27" s="12"/>
      <c r="E27" s="11"/>
      <c r="F27" s="11"/>
      <c r="G27" s="12"/>
      <c r="H27" s="12"/>
      <c r="I27" s="12"/>
      <c r="J27" s="11"/>
      <c r="K27" s="25">
        <f>SUM(K25:K26)</f>
        <v>0</v>
      </c>
    </row>
    <row r="28" spans="1:11" x14ac:dyDescent="0.3">
      <c r="A28" s="5"/>
      <c r="B28" s="10" t="s">
        <v>17</v>
      </c>
      <c r="C28" s="63"/>
      <c r="D28" s="12"/>
      <c r="E28" s="11"/>
      <c r="F28" s="11"/>
      <c r="G28" s="12"/>
      <c r="H28" s="12"/>
      <c r="I28" s="12"/>
      <c r="J28" s="11"/>
      <c r="K28" s="25">
        <f>K27*C28</f>
        <v>0</v>
      </c>
    </row>
    <row r="29" spans="1:11" x14ac:dyDescent="0.3">
      <c r="A29" s="5"/>
      <c r="B29" s="10" t="s">
        <v>20</v>
      </c>
      <c r="C29" s="63">
        <v>0.02</v>
      </c>
      <c r="D29" s="12"/>
      <c r="E29" s="11"/>
      <c r="F29" s="11"/>
      <c r="G29" s="12"/>
      <c r="H29" s="12"/>
      <c r="I29" s="12"/>
      <c r="J29" s="11"/>
      <c r="K29" s="25">
        <f>H21*C29</f>
        <v>0</v>
      </c>
    </row>
    <row r="30" spans="1:11" x14ac:dyDescent="0.3">
      <c r="A30" s="5"/>
      <c r="B30" s="13" t="s">
        <v>6</v>
      </c>
      <c r="C30" s="11"/>
      <c r="D30" s="12"/>
      <c r="E30" s="11"/>
      <c r="F30" s="11"/>
      <c r="G30" s="12"/>
      <c r="H30" s="12"/>
      <c r="I30" s="12"/>
      <c r="J30" s="11"/>
      <c r="K30" s="25">
        <f>K29+K28+K27</f>
        <v>0</v>
      </c>
    </row>
    <row r="31" spans="1:11" x14ac:dyDescent="0.3">
      <c r="A31" s="5"/>
      <c r="B31" s="6" t="s">
        <v>15</v>
      </c>
      <c r="C31" s="63">
        <v>0.18</v>
      </c>
      <c r="D31" s="12"/>
      <c r="E31" s="11"/>
      <c r="F31" s="11"/>
      <c r="G31" s="11"/>
      <c r="H31" s="11"/>
      <c r="I31" s="11"/>
      <c r="J31" s="11"/>
      <c r="K31" s="25">
        <f>K30*C31</f>
        <v>0</v>
      </c>
    </row>
    <row r="32" spans="1:11" x14ac:dyDescent="0.3">
      <c r="A32" s="5"/>
      <c r="B32" s="9" t="s">
        <v>16</v>
      </c>
      <c r="C32" s="2"/>
      <c r="D32" s="5"/>
      <c r="E32" s="5"/>
      <c r="F32" s="5"/>
      <c r="G32" s="5"/>
      <c r="H32" s="5"/>
      <c r="I32" s="5"/>
      <c r="J32" s="5"/>
      <c r="K32" s="20">
        <f>K31+K30</f>
        <v>0</v>
      </c>
    </row>
  </sheetData>
  <mergeCells count="15">
    <mergeCell ref="A15:A20"/>
    <mergeCell ref="B1:I1"/>
    <mergeCell ref="A5:A6"/>
    <mergeCell ref="J1:K1"/>
    <mergeCell ref="I4:J4"/>
    <mergeCell ref="B5:B6"/>
    <mergeCell ref="C5:C6"/>
    <mergeCell ref="D5:D6"/>
    <mergeCell ref="E5:F5"/>
    <mergeCell ref="F4:H4"/>
    <mergeCell ref="G5:H5"/>
    <mergeCell ref="I5:J5"/>
    <mergeCell ref="K5:K6"/>
    <mergeCell ref="B2:K2"/>
    <mergeCell ref="B3:K3"/>
  </mergeCells>
  <phoneticPr fontId="12" type="noConversion"/>
  <pageMargins left="0.45" right="0.45" top="0.5" bottom="0.5" header="0.3" footer="0.3"/>
  <pageSetup scale="81" orientation="landscape" horizontalDpi="4294967295" verticalDpi="4294967295" r:id="rId1"/>
  <ignoredErrors>
    <ignoredError sqref="K25: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120"/>
  <sheetViews>
    <sheetView topLeftCell="A100" workbookViewId="0">
      <selection activeCell="E116" sqref="E116"/>
    </sheetView>
  </sheetViews>
  <sheetFormatPr defaultRowHeight="14.4" x14ac:dyDescent="0.3"/>
  <cols>
    <col min="1" max="1" width="4.33203125" customWidth="1"/>
    <col min="2" max="2" width="65.5546875" customWidth="1"/>
    <col min="5" max="5" width="8.554687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67"/>
      <c r="K1" s="167"/>
    </row>
    <row r="2" spans="1:11" ht="18" customHeight="1" x14ac:dyDescent="0.3">
      <c r="A2" s="15"/>
      <c r="B2" s="161" t="s">
        <v>107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33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K120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35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46">
        <v>1</v>
      </c>
      <c r="B9" s="34" t="s">
        <v>289</v>
      </c>
      <c r="C9" s="35" t="s">
        <v>8</v>
      </c>
      <c r="D9" s="64">
        <v>221</v>
      </c>
      <c r="E9" s="21"/>
      <c r="F9" s="4"/>
      <c r="G9" s="123"/>
      <c r="H9" s="4"/>
      <c r="I9" s="21"/>
      <c r="J9" s="4"/>
      <c r="K9" s="4"/>
    </row>
    <row r="10" spans="1:11" x14ac:dyDescent="0.3">
      <c r="A10" s="147"/>
      <c r="B10" s="22" t="s">
        <v>47</v>
      </c>
      <c r="C10" s="44" t="s">
        <v>11</v>
      </c>
      <c r="D10" s="12">
        <f>0.4*D9</f>
        <v>88.4</v>
      </c>
      <c r="E10" s="50"/>
      <c r="F10" s="12"/>
      <c r="G10" s="42"/>
      <c r="H10" s="4"/>
      <c r="I10" s="42"/>
      <c r="J10" s="4"/>
      <c r="K10" s="4"/>
    </row>
    <row r="11" spans="1:11" x14ac:dyDescent="0.3">
      <c r="A11" s="147"/>
      <c r="B11" s="45" t="s">
        <v>52</v>
      </c>
      <c r="C11" s="44" t="s">
        <v>8</v>
      </c>
      <c r="D11" s="12">
        <f>0.009*D9</f>
        <v>1.9889999999999999</v>
      </c>
      <c r="E11" s="50"/>
      <c r="F11" s="12"/>
      <c r="G11" s="42"/>
      <c r="H11" s="4"/>
      <c r="I11" s="42"/>
      <c r="J11" s="4"/>
      <c r="K11" s="4"/>
    </row>
    <row r="12" spans="1:11" x14ac:dyDescent="0.3">
      <c r="A12" s="147"/>
      <c r="B12" s="45" t="s">
        <v>53</v>
      </c>
      <c r="C12" s="44" t="s">
        <v>9</v>
      </c>
      <c r="D12" s="12">
        <f>0.4*D9</f>
        <v>88.4</v>
      </c>
      <c r="E12" s="50"/>
      <c r="F12" s="12"/>
      <c r="G12" s="42"/>
      <c r="H12" s="4"/>
      <c r="I12" s="42"/>
      <c r="J12" s="4"/>
      <c r="K12" s="4"/>
    </row>
    <row r="13" spans="1:11" x14ac:dyDescent="0.3">
      <c r="A13" s="147"/>
      <c r="B13" s="45" t="s">
        <v>102</v>
      </c>
      <c r="C13" s="44" t="s">
        <v>19</v>
      </c>
      <c r="D13" s="12">
        <v>3</v>
      </c>
      <c r="E13" s="50"/>
      <c r="F13" s="12"/>
      <c r="G13" s="42"/>
      <c r="H13" s="4"/>
      <c r="I13" s="42"/>
      <c r="J13" s="4"/>
      <c r="K13" s="4"/>
    </row>
    <row r="14" spans="1:11" x14ac:dyDescent="0.3">
      <c r="A14" s="147"/>
      <c r="B14" s="45" t="s">
        <v>54</v>
      </c>
      <c r="C14" s="44" t="s">
        <v>9</v>
      </c>
      <c r="D14" s="12">
        <f>0.3*D9</f>
        <v>66.3</v>
      </c>
      <c r="E14" s="50"/>
      <c r="F14" s="12"/>
      <c r="G14" s="42"/>
      <c r="H14" s="4"/>
      <c r="I14" s="42"/>
      <c r="J14" s="4"/>
      <c r="K14" s="4"/>
    </row>
    <row r="15" spans="1:11" x14ac:dyDescent="0.3">
      <c r="A15" s="147"/>
      <c r="B15" s="45" t="s">
        <v>55</v>
      </c>
      <c r="C15" s="44" t="s">
        <v>10</v>
      </c>
      <c r="D15" s="12">
        <f>D9*0.03</f>
        <v>6.63</v>
      </c>
      <c r="E15" s="50"/>
      <c r="F15" s="12"/>
      <c r="G15" s="12"/>
      <c r="H15" s="4"/>
      <c r="I15" s="12"/>
      <c r="J15" s="4"/>
      <c r="K15" s="4"/>
    </row>
    <row r="16" spans="1:11" ht="16.2" x14ac:dyDescent="0.3">
      <c r="A16" s="49"/>
      <c r="B16" s="58" t="s">
        <v>36</v>
      </c>
      <c r="C16" s="55"/>
      <c r="D16" s="56"/>
      <c r="E16" s="57"/>
      <c r="F16" s="12"/>
      <c r="G16" s="56"/>
      <c r="H16" s="4"/>
      <c r="I16" s="56"/>
      <c r="J16" s="4"/>
      <c r="K16" s="4"/>
    </row>
    <row r="17" spans="1:11" x14ac:dyDescent="0.3">
      <c r="A17" s="49"/>
      <c r="B17" s="51" t="s">
        <v>34</v>
      </c>
      <c r="C17" s="11"/>
      <c r="D17" s="12"/>
      <c r="E17" s="50"/>
      <c r="F17" s="12"/>
      <c r="G17" s="12"/>
      <c r="H17" s="4"/>
      <c r="I17" s="12"/>
      <c r="J17" s="4"/>
      <c r="K17" s="4"/>
    </row>
    <row r="18" spans="1:11" ht="27.6" x14ac:dyDescent="0.3">
      <c r="A18" s="168" t="s">
        <v>30</v>
      </c>
      <c r="B18" s="53" t="s">
        <v>32</v>
      </c>
      <c r="C18" s="39" t="s">
        <v>8</v>
      </c>
      <c r="D18" s="40">
        <v>3</v>
      </c>
      <c r="E18" s="41"/>
      <c r="F18" s="12"/>
      <c r="G18" s="21"/>
      <c r="H18" s="4"/>
      <c r="I18" s="21"/>
      <c r="J18" s="4"/>
      <c r="K18" s="4"/>
    </row>
    <row r="19" spans="1:11" x14ac:dyDescent="0.3">
      <c r="A19" s="169"/>
      <c r="B19" s="54" t="s">
        <v>97</v>
      </c>
      <c r="C19" s="44" t="s">
        <v>8</v>
      </c>
      <c r="D19" s="12">
        <f>3*1.05</f>
        <v>3.1500000000000004</v>
      </c>
      <c r="E19" s="12"/>
      <c r="F19" s="12"/>
      <c r="G19" s="12"/>
      <c r="H19" s="4"/>
      <c r="I19" s="12"/>
      <c r="J19" s="4"/>
      <c r="K19" s="4"/>
    </row>
    <row r="20" spans="1:11" x14ac:dyDescent="0.3">
      <c r="A20" s="169"/>
      <c r="B20" s="54" t="s">
        <v>31</v>
      </c>
      <c r="C20" s="44" t="s">
        <v>8</v>
      </c>
      <c r="D20" s="12">
        <f>D18</f>
        <v>3</v>
      </c>
      <c r="E20" s="12"/>
      <c r="F20" s="12"/>
      <c r="G20" s="12"/>
      <c r="H20" s="4"/>
      <c r="I20" s="12"/>
      <c r="J20" s="4"/>
      <c r="K20" s="4"/>
    </row>
    <row r="21" spans="1:11" x14ac:dyDescent="0.3">
      <c r="A21" s="170"/>
      <c r="B21" s="45" t="s">
        <v>24</v>
      </c>
      <c r="C21" s="44" t="s">
        <v>10</v>
      </c>
      <c r="D21" s="12">
        <f>D16*0.05+D18*0.05</f>
        <v>0.15000000000000002</v>
      </c>
      <c r="E21" s="12"/>
      <c r="F21" s="12"/>
      <c r="G21" s="12"/>
      <c r="H21" s="4"/>
      <c r="I21" s="12"/>
      <c r="J21" s="4"/>
      <c r="K21" s="4"/>
    </row>
    <row r="22" spans="1:11" ht="27.6" x14ac:dyDescent="0.3">
      <c r="A22" s="146">
        <v>3</v>
      </c>
      <c r="B22" s="34" t="s">
        <v>96</v>
      </c>
      <c r="C22" s="35" t="s">
        <v>8</v>
      </c>
      <c r="D22" s="64">
        <v>4</v>
      </c>
      <c r="E22" s="21"/>
      <c r="F22" s="12"/>
      <c r="G22" s="136"/>
      <c r="H22" s="4"/>
      <c r="I22" s="21"/>
      <c r="J22" s="4"/>
      <c r="K22" s="4"/>
    </row>
    <row r="23" spans="1:11" x14ac:dyDescent="0.3">
      <c r="A23" s="147"/>
      <c r="B23" s="45" t="s">
        <v>50</v>
      </c>
      <c r="C23" s="44" t="s">
        <v>11</v>
      </c>
      <c r="D23" s="12">
        <f>0.45*D22</f>
        <v>1.8</v>
      </c>
      <c r="E23" s="50"/>
      <c r="F23" s="12"/>
      <c r="G23" s="42"/>
      <c r="H23" s="4"/>
      <c r="I23" s="42"/>
      <c r="J23" s="4"/>
      <c r="K23" s="4"/>
    </row>
    <row r="24" spans="1:11" x14ac:dyDescent="0.3">
      <c r="A24" s="147"/>
      <c r="B24" s="22" t="s">
        <v>47</v>
      </c>
      <c r="C24" s="44" t="s">
        <v>11</v>
      </c>
      <c r="D24" s="12">
        <f>0.4*D22</f>
        <v>1.6</v>
      </c>
      <c r="E24" s="50"/>
      <c r="F24" s="12"/>
      <c r="G24" s="42"/>
      <c r="H24" s="4"/>
      <c r="I24" s="42"/>
      <c r="J24" s="4"/>
      <c r="K24" s="4"/>
    </row>
    <row r="25" spans="1:11" x14ac:dyDescent="0.3">
      <c r="A25" s="147"/>
      <c r="B25" s="45" t="s">
        <v>51</v>
      </c>
      <c r="C25" s="44" t="s">
        <v>11</v>
      </c>
      <c r="D25" s="12">
        <f>0.15*D22</f>
        <v>0.6</v>
      </c>
      <c r="E25" s="50"/>
      <c r="F25" s="12"/>
      <c r="G25" s="42"/>
      <c r="H25" s="4"/>
      <c r="I25" s="42"/>
      <c r="J25" s="4"/>
      <c r="K25" s="4"/>
    </row>
    <row r="26" spans="1:11" x14ac:dyDescent="0.3">
      <c r="A26" s="147"/>
      <c r="B26" s="45" t="s">
        <v>52</v>
      </c>
      <c r="C26" s="44" t="s">
        <v>8</v>
      </c>
      <c r="D26" s="12">
        <f>0.009*D22</f>
        <v>3.5999999999999997E-2</v>
      </c>
      <c r="E26" s="50"/>
      <c r="F26" s="12"/>
      <c r="G26" s="42"/>
      <c r="H26" s="4"/>
      <c r="I26" s="42"/>
      <c r="J26" s="4"/>
      <c r="K26" s="4"/>
    </row>
    <row r="27" spans="1:11" x14ac:dyDescent="0.3">
      <c r="A27" s="147"/>
      <c r="B27" s="45" t="s">
        <v>53</v>
      </c>
      <c r="C27" s="44" t="s">
        <v>9</v>
      </c>
      <c r="D27" s="12">
        <f>0.4*D22</f>
        <v>1.6</v>
      </c>
      <c r="E27" s="50"/>
      <c r="F27" s="12"/>
      <c r="G27" s="42"/>
      <c r="H27" s="4"/>
      <c r="I27" s="42"/>
      <c r="J27" s="4"/>
      <c r="K27" s="4"/>
    </row>
    <row r="28" spans="1:11" x14ac:dyDescent="0.3">
      <c r="A28" s="147"/>
      <c r="B28" s="45" t="s">
        <v>54</v>
      </c>
      <c r="C28" s="44" t="s">
        <v>9</v>
      </c>
      <c r="D28" s="12">
        <f>0.3*D22</f>
        <v>1.2</v>
      </c>
      <c r="E28" s="50"/>
      <c r="F28" s="12"/>
      <c r="G28" s="42"/>
      <c r="H28" s="4"/>
      <c r="I28" s="42"/>
      <c r="J28" s="4"/>
      <c r="K28" s="4"/>
    </row>
    <row r="29" spans="1:11" x14ac:dyDescent="0.3">
      <c r="A29" s="147"/>
      <c r="B29" s="45" t="s">
        <v>55</v>
      </c>
      <c r="C29" s="44" t="s">
        <v>10</v>
      </c>
      <c r="D29" s="12">
        <f>D22*0.03</f>
        <v>0.12</v>
      </c>
      <c r="E29" s="50"/>
      <c r="F29" s="12"/>
      <c r="G29" s="12"/>
      <c r="H29" s="4"/>
      <c r="I29" s="12"/>
      <c r="J29" s="4"/>
      <c r="K29" s="4"/>
    </row>
    <row r="30" spans="1:11" x14ac:dyDescent="0.3">
      <c r="A30" s="49"/>
      <c r="B30" s="51" t="s">
        <v>115</v>
      </c>
      <c r="C30" s="44"/>
      <c r="D30" s="12"/>
      <c r="E30" s="50"/>
      <c r="F30" s="12"/>
      <c r="G30" s="12"/>
      <c r="H30" s="4"/>
      <c r="I30" s="12"/>
      <c r="J30" s="4"/>
      <c r="K30" s="4"/>
    </row>
    <row r="31" spans="1:11" x14ac:dyDescent="0.3">
      <c r="A31" s="146">
        <v>4</v>
      </c>
      <c r="B31" s="34" t="s">
        <v>288</v>
      </c>
      <c r="C31" s="35" t="s">
        <v>8</v>
      </c>
      <c r="D31" s="64">
        <v>67</v>
      </c>
      <c r="E31" s="21"/>
      <c r="F31" s="4"/>
      <c r="G31" s="123"/>
      <c r="H31" s="4"/>
      <c r="I31" s="21"/>
      <c r="J31" s="4"/>
      <c r="K31" s="4"/>
    </row>
    <row r="32" spans="1:11" x14ac:dyDescent="0.3">
      <c r="A32" s="147"/>
      <c r="B32" s="22" t="s">
        <v>47</v>
      </c>
      <c r="C32" s="44" t="s">
        <v>11</v>
      </c>
      <c r="D32" s="12">
        <f>0.4*D31</f>
        <v>26.8</v>
      </c>
      <c r="E32" s="50"/>
      <c r="F32" s="12"/>
      <c r="G32" s="42"/>
      <c r="H32" s="4"/>
      <c r="I32" s="42"/>
      <c r="J32" s="4"/>
      <c r="K32" s="4"/>
    </row>
    <row r="33" spans="1:11" x14ac:dyDescent="0.3">
      <c r="A33" s="147"/>
      <c r="B33" s="45" t="s">
        <v>52</v>
      </c>
      <c r="C33" s="44" t="s">
        <v>8</v>
      </c>
      <c r="D33" s="12">
        <f>0.009*D31</f>
        <v>0.60299999999999998</v>
      </c>
      <c r="E33" s="50"/>
      <c r="F33" s="12"/>
      <c r="G33" s="42"/>
      <c r="H33" s="4"/>
      <c r="I33" s="42"/>
      <c r="J33" s="4"/>
      <c r="K33" s="4"/>
    </row>
    <row r="34" spans="1:11" x14ac:dyDescent="0.3">
      <c r="A34" s="147"/>
      <c r="B34" s="45" t="s">
        <v>53</v>
      </c>
      <c r="C34" s="44" t="s">
        <v>9</v>
      </c>
      <c r="D34" s="12">
        <f>0.4*D31</f>
        <v>26.8</v>
      </c>
      <c r="E34" s="50"/>
      <c r="F34" s="12"/>
      <c r="G34" s="42"/>
      <c r="H34" s="4"/>
      <c r="I34" s="42"/>
      <c r="J34" s="4"/>
      <c r="K34" s="4"/>
    </row>
    <row r="35" spans="1:11" x14ac:dyDescent="0.3">
      <c r="A35" s="147"/>
      <c r="B35" s="45" t="s">
        <v>102</v>
      </c>
      <c r="C35" s="44" t="s">
        <v>19</v>
      </c>
      <c r="D35" s="12">
        <v>4</v>
      </c>
      <c r="E35" s="50"/>
      <c r="F35" s="12"/>
      <c r="G35" s="42"/>
      <c r="H35" s="4"/>
      <c r="I35" s="42"/>
      <c r="J35" s="4"/>
      <c r="K35" s="4"/>
    </row>
    <row r="36" spans="1:11" x14ac:dyDescent="0.3">
      <c r="A36" s="147"/>
      <c r="B36" s="45" t="s">
        <v>54</v>
      </c>
      <c r="C36" s="44" t="s">
        <v>9</v>
      </c>
      <c r="D36" s="12">
        <f>0.3*D31</f>
        <v>20.099999999999998</v>
      </c>
      <c r="E36" s="50"/>
      <c r="F36" s="12"/>
      <c r="G36" s="42"/>
      <c r="H36" s="4"/>
      <c r="I36" s="42"/>
      <c r="J36" s="4"/>
      <c r="K36" s="4"/>
    </row>
    <row r="37" spans="1:11" x14ac:dyDescent="0.3">
      <c r="A37" s="147"/>
      <c r="B37" s="45" t="s">
        <v>55</v>
      </c>
      <c r="C37" s="44" t="s">
        <v>10</v>
      </c>
      <c r="D37" s="12">
        <f>D31*0.03</f>
        <v>2.0099999999999998</v>
      </c>
      <c r="E37" s="50"/>
      <c r="F37" s="12"/>
      <c r="G37" s="12"/>
      <c r="H37" s="4"/>
      <c r="I37" s="12"/>
      <c r="J37" s="4"/>
      <c r="K37" s="4"/>
    </row>
    <row r="38" spans="1:11" x14ac:dyDescent="0.3">
      <c r="A38" s="146">
        <v>5</v>
      </c>
      <c r="B38" s="34" t="s">
        <v>287</v>
      </c>
      <c r="C38" s="35" t="s">
        <v>8</v>
      </c>
      <c r="D38" s="64">
        <v>34.4</v>
      </c>
      <c r="E38" s="21"/>
      <c r="F38" s="4"/>
      <c r="G38" s="123"/>
      <c r="H38" s="4"/>
      <c r="I38" s="21"/>
      <c r="J38" s="4"/>
      <c r="K38" s="4"/>
    </row>
    <row r="39" spans="1:11" x14ac:dyDescent="0.3">
      <c r="A39" s="147"/>
      <c r="B39" s="22" t="s">
        <v>47</v>
      </c>
      <c r="C39" s="44" t="s">
        <v>11</v>
      </c>
      <c r="D39" s="12">
        <f>0.4*D38</f>
        <v>13.76</v>
      </c>
      <c r="E39" s="50"/>
      <c r="F39" s="12"/>
      <c r="G39" s="42"/>
      <c r="H39" s="4"/>
      <c r="I39" s="42"/>
      <c r="J39" s="4"/>
      <c r="K39" s="4"/>
    </row>
    <row r="40" spans="1:11" x14ac:dyDescent="0.3">
      <c r="A40" s="147"/>
      <c r="B40" s="45" t="s">
        <v>52</v>
      </c>
      <c r="C40" s="44" t="s">
        <v>8</v>
      </c>
      <c r="D40" s="12">
        <f>0.009*D38</f>
        <v>0.30959999999999999</v>
      </c>
      <c r="E40" s="50"/>
      <c r="F40" s="12"/>
      <c r="G40" s="42"/>
      <c r="H40" s="4"/>
      <c r="I40" s="42"/>
      <c r="J40" s="4"/>
      <c r="K40" s="4"/>
    </row>
    <row r="41" spans="1:11" x14ac:dyDescent="0.3">
      <c r="A41" s="147"/>
      <c r="B41" s="45" t="s">
        <v>102</v>
      </c>
      <c r="C41" s="44" t="s">
        <v>19</v>
      </c>
      <c r="D41" s="12">
        <v>1</v>
      </c>
      <c r="E41" s="50"/>
      <c r="F41" s="12"/>
      <c r="G41" s="42"/>
      <c r="H41" s="4"/>
      <c r="I41" s="42"/>
      <c r="J41" s="4"/>
      <c r="K41" s="4"/>
    </row>
    <row r="42" spans="1:11" x14ac:dyDescent="0.3">
      <c r="A42" s="147"/>
      <c r="B42" s="45" t="s">
        <v>53</v>
      </c>
      <c r="C42" s="44" t="s">
        <v>9</v>
      </c>
      <c r="D42" s="12">
        <f>0.4*D38</f>
        <v>13.76</v>
      </c>
      <c r="E42" s="50"/>
      <c r="F42" s="12"/>
      <c r="G42" s="42"/>
      <c r="H42" s="4"/>
      <c r="I42" s="42"/>
      <c r="J42" s="4"/>
      <c r="K42" s="4"/>
    </row>
    <row r="43" spans="1:11" x14ac:dyDescent="0.3">
      <c r="A43" s="120"/>
      <c r="B43" s="45" t="s">
        <v>55</v>
      </c>
      <c r="C43" s="44" t="s">
        <v>10</v>
      </c>
      <c r="D43" s="12">
        <f>D38*0.03</f>
        <v>1.032</v>
      </c>
      <c r="E43" s="50"/>
      <c r="F43" s="12"/>
      <c r="G43" s="12"/>
      <c r="H43" s="4"/>
      <c r="I43" s="12"/>
      <c r="J43" s="4"/>
      <c r="K43" s="4"/>
    </row>
    <row r="44" spans="1:11" ht="16.2" x14ac:dyDescent="0.3">
      <c r="A44" s="36"/>
      <c r="B44" s="58" t="s">
        <v>37</v>
      </c>
      <c r="C44" s="55"/>
      <c r="D44" s="56"/>
      <c r="E44" s="57"/>
      <c r="F44" s="12"/>
      <c r="G44" s="56"/>
      <c r="H44" s="4"/>
      <c r="I44" s="56"/>
      <c r="J44" s="4"/>
      <c r="K44" s="4"/>
    </row>
    <row r="45" spans="1:11" ht="41.4" x14ac:dyDescent="0.3">
      <c r="A45" s="73">
        <v>6</v>
      </c>
      <c r="B45" s="46" t="s">
        <v>75</v>
      </c>
      <c r="C45" s="39" t="s">
        <v>19</v>
      </c>
      <c r="D45" s="40">
        <v>2</v>
      </c>
      <c r="E45" s="50"/>
      <c r="F45" s="12"/>
      <c r="G45" s="21"/>
      <c r="H45" s="4"/>
      <c r="I45" s="21"/>
      <c r="J45" s="4"/>
      <c r="K45" s="4"/>
    </row>
    <row r="46" spans="1:11" x14ac:dyDescent="0.3">
      <c r="A46" s="146">
        <v>7</v>
      </c>
      <c r="B46" s="34" t="s">
        <v>76</v>
      </c>
      <c r="C46" s="8" t="s">
        <v>8</v>
      </c>
      <c r="D46" s="64">
        <f>(1.1*2.1)*2</f>
        <v>4.620000000000001</v>
      </c>
      <c r="E46" s="21"/>
      <c r="F46" s="12"/>
      <c r="G46" s="21"/>
      <c r="H46" s="4"/>
      <c r="I46" s="21"/>
      <c r="J46" s="4"/>
      <c r="K46" s="4"/>
    </row>
    <row r="47" spans="1:11" x14ac:dyDescent="0.3">
      <c r="A47" s="147"/>
      <c r="B47" s="37" t="s">
        <v>79</v>
      </c>
      <c r="C47" s="61" t="s">
        <v>8</v>
      </c>
      <c r="D47" s="21">
        <f>D46*1.05*2</f>
        <v>9.7020000000000017</v>
      </c>
      <c r="E47" s="21"/>
      <c r="F47" s="12"/>
      <c r="G47" s="21"/>
      <c r="H47" s="4"/>
      <c r="I47" s="21"/>
      <c r="J47" s="4"/>
      <c r="K47" s="4"/>
    </row>
    <row r="48" spans="1:11" ht="27.6" x14ac:dyDescent="0.3">
      <c r="A48" s="147"/>
      <c r="B48" s="7" t="s">
        <v>25</v>
      </c>
      <c r="C48" s="61" t="s">
        <v>8</v>
      </c>
      <c r="D48" s="21">
        <f>D46</f>
        <v>4.620000000000001</v>
      </c>
      <c r="E48" s="21"/>
      <c r="F48" s="12"/>
      <c r="G48" s="21"/>
      <c r="H48" s="4"/>
      <c r="I48" s="21"/>
      <c r="J48" s="4"/>
      <c r="K48" s="4"/>
    </row>
    <row r="49" spans="1:11" x14ac:dyDescent="0.3">
      <c r="A49" s="147"/>
      <c r="B49" s="38" t="s">
        <v>113</v>
      </c>
      <c r="C49" s="61" t="s">
        <v>8</v>
      </c>
      <c r="D49" s="21">
        <f>D46</f>
        <v>4.620000000000001</v>
      </c>
      <c r="E49" s="21"/>
      <c r="F49" s="12"/>
      <c r="G49" s="21"/>
      <c r="H49" s="4"/>
      <c r="I49" s="21"/>
      <c r="J49" s="4"/>
      <c r="K49" s="4"/>
    </row>
    <row r="50" spans="1:11" x14ac:dyDescent="0.3">
      <c r="A50" s="166"/>
      <c r="B50" s="38" t="s">
        <v>24</v>
      </c>
      <c r="C50" s="61" t="s">
        <v>10</v>
      </c>
      <c r="D50" s="21">
        <f>D46*0.1</f>
        <v>0.46200000000000013</v>
      </c>
      <c r="E50" s="21"/>
      <c r="F50" s="12"/>
      <c r="G50" s="21"/>
      <c r="H50" s="4"/>
      <c r="I50" s="21"/>
      <c r="J50" s="4"/>
      <c r="K50" s="4"/>
    </row>
    <row r="51" spans="1:11" ht="27.6" x14ac:dyDescent="0.3">
      <c r="A51" s="146">
        <v>8</v>
      </c>
      <c r="B51" s="34" t="s">
        <v>77</v>
      </c>
      <c r="C51" s="35" t="s">
        <v>8</v>
      </c>
      <c r="D51" s="64">
        <v>10</v>
      </c>
      <c r="E51" s="21"/>
      <c r="F51" s="4"/>
      <c r="G51" s="123"/>
      <c r="H51" s="4"/>
      <c r="I51" s="21"/>
      <c r="J51" s="4"/>
      <c r="K51" s="4"/>
    </row>
    <row r="52" spans="1:11" x14ac:dyDescent="0.3">
      <c r="A52" s="147"/>
      <c r="B52" s="45" t="s">
        <v>50</v>
      </c>
      <c r="C52" s="44" t="s">
        <v>11</v>
      </c>
      <c r="D52" s="42">
        <f>0.45*D51</f>
        <v>4.5</v>
      </c>
      <c r="E52" s="50"/>
      <c r="F52" s="12"/>
      <c r="G52" s="42"/>
      <c r="H52" s="4"/>
      <c r="I52" s="42"/>
      <c r="J52" s="4"/>
      <c r="K52" s="4"/>
    </row>
    <row r="53" spans="1:11" x14ac:dyDescent="0.3">
      <c r="A53" s="147"/>
      <c r="B53" s="22" t="s">
        <v>47</v>
      </c>
      <c r="C53" s="44" t="s">
        <v>11</v>
      </c>
      <c r="D53" s="12">
        <f>0.4*D51</f>
        <v>4</v>
      </c>
      <c r="E53" s="50"/>
      <c r="F53" s="12"/>
      <c r="G53" s="42"/>
      <c r="H53" s="4"/>
      <c r="I53" s="42"/>
      <c r="J53" s="4"/>
      <c r="K53" s="4"/>
    </row>
    <row r="54" spans="1:11" x14ac:dyDescent="0.3">
      <c r="A54" s="147"/>
      <c r="B54" s="45" t="s">
        <v>51</v>
      </c>
      <c r="C54" s="44" t="s">
        <v>11</v>
      </c>
      <c r="D54" s="12">
        <f>0.15*D51</f>
        <v>1.5</v>
      </c>
      <c r="E54" s="50"/>
      <c r="F54" s="12"/>
      <c r="G54" s="42"/>
      <c r="H54" s="4"/>
      <c r="I54" s="42"/>
      <c r="J54" s="4"/>
      <c r="K54" s="4"/>
    </row>
    <row r="55" spans="1:11" x14ac:dyDescent="0.3">
      <c r="A55" s="147"/>
      <c r="B55" s="45" t="s">
        <v>52</v>
      </c>
      <c r="C55" s="44" t="s">
        <v>8</v>
      </c>
      <c r="D55" s="12">
        <f>0.009*D51</f>
        <v>0.09</v>
      </c>
      <c r="E55" s="50"/>
      <c r="F55" s="12"/>
      <c r="G55" s="42"/>
      <c r="H55" s="4"/>
      <c r="I55" s="42"/>
      <c r="J55" s="4"/>
      <c r="K55" s="4"/>
    </row>
    <row r="56" spans="1:11" x14ac:dyDescent="0.3">
      <c r="A56" s="147"/>
      <c r="B56" s="45" t="s">
        <v>53</v>
      </c>
      <c r="C56" s="44" t="s">
        <v>9</v>
      </c>
      <c r="D56" s="12">
        <f>0.4*D51</f>
        <v>4</v>
      </c>
      <c r="E56" s="50"/>
      <c r="F56" s="12"/>
      <c r="G56" s="42"/>
      <c r="H56" s="4"/>
      <c r="I56" s="42"/>
      <c r="J56" s="4"/>
      <c r="K56" s="4"/>
    </row>
    <row r="57" spans="1:11" x14ac:dyDescent="0.3">
      <c r="A57" s="147"/>
      <c r="B57" s="45" t="s">
        <v>54</v>
      </c>
      <c r="C57" s="44" t="s">
        <v>9</v>
      </c>
      <c r="D57" s="12">
        <f>0.3*D51</f>
        <v>3</v>
      </c>
      <c r="E57" s="50"/>
      <c r="F57" s="12"/>
      <c r="G57" s="42"/>
      <c r="H57" s="4"/>
      <c r="I57" s="42"/>
      <c r="J57" s="4"/>
      <c r="K57" s="4"/>
    </row>
    <row r="58" spans="1:11" x14ac:dyDescent="0.3">
      <c r="A58" s="166"/>
      <c r="B58" s="45" t="s">
        <v>55</v>
      </c>
      <c r="C58" s="44" t="s">
        <v>10</v>
      </c>
      <c r="D58" s="12">
        <f>D51*0.03</f>
        <v>0.3</v>
      </c>
      <c r="E58" s="50"/>
      <c r="F58" s="12"/>
      <c r="G58" s="12"/>
      <c r="H58" s="4"/>
      <c r="I58" s="12"/>
      <c r="J58" s="4"/>
      <c r="K58" s="4"/>
    </row>
    <row r="59" spans="1:11" ht="41.4" x14ac:dyDescent="0.3">
      <c r="A59" s="73">
        <v>9</v>
      </c>
      <c r="B59" s="46" t="s">
        <v>80</v>
      </c>
      <c r="C59" s="8" t="s">
        <v>19</v>
      </c>
      <c r="D59" s="64">
        <v>4</v>
      </c>
      <c r="E59" s="50"/>
      <c r="F59" s="12"/>
      <c r="G59" s="21"/>
      <c r="H59" s="4"/>
      <c r="I59" s="21"/>
      <c r="J59" s="4"/>
      <c r="K59" s="4"/>
    </row>
    <row r="60" spans="1:11" ht="27.6" x14ac:dyDescent="0.3">
      <c r="A60" s="73">
        <v>10</v>
      </c>
      <c r="B60" s="46" t="s">
        <v>83</v>
      </c>
      <c r="C60" s="35" t="s">
        <v>8</v>
      </c>
      <c r="D60" s="40">
        <v>28</v>
      </c>
      <c r="E60" s="50"/>
      <c r="F60" s="12"/>
      <c r="G60" s="12"/>
      <c r="H60" s="4"/>
      <c r="I60" s="12"/>
      <c r="J60" s="4"/>
      <c r="K60" s="4"/>
    </row>
    <row r="61" spans="1:11" ht="27.6" x14ac:dyDescent="0.3">
      <c r="A61" s="118">
        <v>11</v>
      </c>
      <c r="B61" s="46" t="s">
        <v>85</v>
      </c>
      <c r="C61" s="35" t="s">
        <v>22</v>
      </c>
      <c r="D61" s="40">
        <v>1</v>
      </c>
      <c r="E61" s="50"/>
      <c r="F61" s="12"/>
      <c r="G61" s="12"/>
      <c r="H61" s="4"/>
      <c r="I61" s="12"/>
      <c r="J61" s="4"/>
      <c r="K61" s="4"/>
    </row>
    <row r="62" spans="1:11" ht="27.6" x14ac:dyDescent="0.3">
      <c r="A62" s="118">
        <v>12</v>
      </c>
      <c r="B62" s="46" t="s">
        <v>86</v>
      </c>
      <c r="C62" s="35" t="s">
        <v>22</v>
      </c>
      <c r="D62" s="40">
        <v>1</v>
      </c>
      <c r="E62" s="50"/>
      <c r="F62" s="12"/>
      <c r="G62" s="12"/>
      <c r="H62" s="4"/>
      <c r="I62" s="12"/>
      <c r="J62" s="4"/>
      <c r="K62" s="4"/>
    </row>
    <row r="63" spans="1:11" ht="27.6" x14ac:dyDescent="0.3">
      <c r="A63" s="146">
        <v>1</v>
      </c>
      <c r="B63" s="34" t="s">
        <v>82</v>
      </c>
      <c r="C63" s="8" t="s">
        <v>8</v>
      </c>
      <c r="D63" s="64">
        <v>21</v>
      </c>
      <c r="E63" s="21"/>
      <c r="F63" s="12"/>
      <c r="G63" s="21"/>
      <c r="H63" s="4"/>
      <c r="I63" s="21"/>
      <c r="J63" s="4"/>
      <c r="K63" s="4"/>
    </row>
    <row r="64" spans="1:11" x14ac:dyDescent="0.3">
      <c r="A64" s="147"/>
      <c r="B64" s="37" t="s">
        <v>78</v>
      </c>
      <c r="C64" s="61" t="s">
        <v>8</v>
      </c>
      <c r="D64" s="21">
        <f>D63*1.05*2</f>
        <v>44.1</v>
      </c>
      <c r="E64" s="21"/>
      <c r="F64" s="12"/>
      <c r="G64" s="21"/>
      <c r="H64" s="4"/>
      <c r="I64" s="21"/>
      <c r="J64" s="4"/>
      <c r="K64" s="4"/>
    </row>
    <row r="65" spans="1:11" ht="27.6" x14ac:dyDescent="0.3">
      <c r="A65" s="147"/>
      <c r="B65" s="7" t="s">
        <v>25</v>
      </c>
      <c r="C65" s="61" t="s">
        <v>8</v>
      </c>
      <c r="D65" s="21">
        <f>D63</f>
        <v>21</v>
      </c>
      <c r="E65" s="21"/>
      <c r="F65" s="12"/>
      <c r="G65" s="21"/>
      <c r="H65" s="4"/>
      <c r="I65" s="21"/>
      <c r="J65" s="4"/>
      <c r="K65" s="4"/>
    </row>
    <row r="66" spans="1:11" x14ac:dyDescent="0.3">
      <c r="A66" s="147"/>
      <c r="B66" s="38" t="s">
        <v>113</v>
      </c>
      <c r="C66" s="61" t="s">
        <v>8</v>
      </c>
      <c r="D66" s="21">
        <f>D63</f>
        <v>21</v>
      </c>
      <c r="E66" s="21"/>
      <c r="F66" s="12"/>
      <c r="G66" s="21"/>
      <c r="H66" s="4"/>
      <c r="I66" s="21"/>
      <c r="J66" s="4"/>
      <c r="K66" s="4"/>
    </row>
    <row r="67" spans="1:11" x14ac:dyDescent="0.3">
      <c r="A67" s="166"/>
      <c r="B67" s="38" t="s">
        <v>24</v>
      </c>
      <c r="C67" s="61" t="s">
        <v>10</v>
      </c>
      <c r="D67" s="21">
        <f>D63*0.1</f>
        <v>2.1</v>
      </c>
      <c r="E67" s="21"/>
      <c r="F67" s="12"/>
      <c r="G67" s="21"/>
      <c r="H67" s="4"/>
      <c r="I67" s="21"/>
      <c r="J67" s="4"/>
      <c r="K67" s="4"/>
    </row>
    <row r="68" spans="1:11" ht="27.6" x14ac:dyDescent="0.3">
      <c r="A68" s="146">
        <v>14</v>
      </c>
      <c r="B68" s="34" t="s">
        <v>92</v>
      </c>
      <c r="C68" s="8" t="s">
        <v>8</v>
      </c>
      <c r="D68" s="64">
        <v>6</v>
      </c>
      <c r="E68" s="21"/>
      <c r="F68" s="12"/>
      <c r="G68" s="21"/>
      <c r="H68" s="4"/>
      <c r="I68" s="21"/>
      <c r="J68" s="4"/>
      <c r="K68" s="4"/>
    </row>
    <row r="69" spans="1:11" x14ac:dyDescent="0.3">
      <c r="A69" s="147"/>
      <c r="B69" s="37" t="s">
        <v>93</v>
      </c>
      <c r="C69" s="61" t="s">
        <v>8</v>
      </c>
      <c r="D69" s="21">
        <f>D68*1.05</f>
        <v>6.3000000000000007</v>
      </c>
      <c r="E69" s="21"/>
      <c r="F69" s="12"/>
      <c r="G69" s="21"/>
      <c r="H69" s="4"/>
      <c r="I69" s="21"/>
      <c r="J69" s="4"/>
      <c r="K69" s="4"/>
    </row>
    <row r="70" spans="1:11" ht="27.6" x14ac:dyDescent="0.3">
      <c r="A70" s="147"/>
      <c r="B70" s="7" t="s">
        <v>28</v>
      </c>
      <c r="C70" s="61" t="s">
        <v>8</v>
      </c>
      <c r="D70" s="21">
        <f>D68</f>
        <v>6</v>
      </c>
      <c r="E70" s="21"/>
      <c r="F70" s="12"/>
      <c r="G70" s="21"/>
      <c r="H70" s="4"/>
      <c r="I70" s="21"/>
      <c r="J70" s="4"/>
      <c r="K70" s="4"/>
    </row>
    <row r="71" spans="1:11" x14ac:dyDescent="0.3">
      <c r="A71" s="166"/>
      <c r="B71" s="38" t="s">
        <v>24</v>
      </c>
      <c r="C71" s="61" t="s">
        <v>10</v>
      </c>
      <c r="D71" s="21">
        <f>D62*0.1+D68*0.1</f>
        <v>0.70000000000000007</v>
      </c>
      <c r="E71" s="21"/>
      <c r="F71" s="12"/>
      <c r="G71" s="21"/>
      <c r="H71" s="4"/>
      <c r="I71" s="21"/>
      <c r="J71" s="4"/>
      <c r="K71" s="4"/>
    </row>
    <row r="72" spans="1:11" ht="41.4" x14ac:dyDescent="0.3">
      <c r="A72" s="163" t="s">
        <v>294</v>
      </c>
      <c r="B72" s="47" t="s">
        <v>81</v>
      </c>
      <c r="C72" s="39" t="s">
        <v>8</v>
      </c>
      <c r="D72" s="64">
        <v>5.16</v>
      </c>
      <c r="E72" s="48"/>
      <c r="F72" s="12"/>
      <c r="G72" s="48"/>
      <c r="H72" s="4"/>
      <c r="I72" s="48"/>
      <c r="J72" s="4"/>
      <c r="K72" s="4"/>
    </row>
    <row r="73" spans="1:11" x14ac:dyDescent="0.3">
      <c r="A73" s="164"/>
      <c r="B73" s="23" t="s">
        <v>59</v>
      </c>
      <c r="C73" s="2" t="s">
        <v>10</v>
      </c>
      <c r="D73" s="24">
        <f>0.13*D72</f>
        <v>0.67080000000000006</v>
      </c>
      <c r="E73" s="24"/>
      <c r="F73" s="12"/>
      <c r="G73" s="24"/>
      <c r="H73" s="4"/>
      <c r="I73" s="24"/>
      <c r="J73" s="4"/>
      <c r="K73" s="4"/>
    </row>
    <row r="74" spans="1:11" x14ac:dyDescent="0.3">
      <c r="A74" s="164"/>
      <c r="B74" s="23" t="s">
        <v>29</v>
      </c>
      <c r="C74" s="2" t="s">
        <v>21</v>
      </c>
      <c r="D74" s="24">
        <f>D72</f>
        <v>5.16</v>
      </c>
      <c r="E74" s="76"/>
      <c r="F74" s="12"/>
      <c r="G74" s="24"/>
      <c r="H74" s="4"/>
      <c r="I74" s="24"/>
      <c r="J74" s="4"/>
      <c r="K74" s="4"/>
    </row>
    <row r="75" spans="1:11" x14ac:dyDescent="0.3">
      <c r="A75" s="164"/>
      <c r="B75" s="23" t="s">
        <v>101</v>
      </c>
      <c r="C75" s="2" t="s">
        <v>19</v>
      </c>
      <c r="D75" s="24">
        <v>1</v>
      </c>
      <c r="E75" s="24"/>
      <c r="F75" s="12"/>
      <c r="G75" s="24"/>
      <c r="H75" s="4"/>
      <c r="I75" s="24"/>
      <c r="J75" s="4"/>
      <c r="K75" s="4"/>
    </row>
    <row r="76" spans="1:11" x14ac:dyDescent="0.3">
      <c r="A76" s="165"/>
      <c r="B76" s="30" t="s">
        <v>58</v>
      </c>
      <c r="C76" s="2" t="s">
        <v>10</v>
      </c>
      <c r="D76" s="24">
        <f>0.3*D72</f>
        <v>1.548</v>
      </c>
      <c r="E76" s="24"/>
      <c r="F76" s="12"/>
      <c r="G76" s="24"/>
      <c r="H76" s="4"/>
      <c r="I76" s="24"/>
      <c r="J76" s="4"/>
      <c r="K76" s="4"/>
    </row>
    <row r="77" spans="1:11" ht="27.6" x14ac:dyDescent="0.3">
      <c r="A77" s="73">
        <v>16</v>
      </c>
      <c r="B77" s="46" t="s">
        <v>84</v>
      </c>
      <c r="C77" s="39" t="s">
        <v>8</v>
      </c>
      <c r="D77" s="40">
        <v>4.5</v>
      </c>
      <c r="E77" s="50"/>
      <c r="F77" s="12"/>
      <c r="G77" s="12"/>
      <c r="H77" s="4"/>
      <c r="I77" s="12"/>
      <c r="J77" s="4"/>
      <c r="K77" s="4"/>
    </row>
    <row r="78" spans="1:11" ht="27.6" x14ac:dyDescent="0.3">
      <c r="A78" s="163" t="s">
        <v>295</v>
      </c>
      <c r="B78" s="46" t="s">
        <v>114</v>
      </c>
      <c r="C78" s="39" t="s">
        <v>8</v>
      </c>
      <c r="D78" s="40">
        <v>2.8</v>
      </c>
      <c r="E78" s="40"/>
      <c r="F78" s="12"/>
      <c r="G78" s="12"/>
      <c r="H78" s="4"/>
      <c r="I78" s="12"/>
      <c r="J78" s="4"/>
      <c r="K78" s="4"/>
    </row>
    <row r="79" spans="1:11" x14ac:dyDescent="0.3">
      <c r="A79" s="164"/>
      <c r="B79" s="45" t="s">
        <v>60</v>
      </c>
      <c r="C79" s="44" t="s">
        <v>8</v>
      </c>
      <c r="D79" s="12">
        <f>1.03*D78</f>
        <v>2.8839999999999999</v>
      </c>
      <c r="E79" s="12"/>
      <c r="F79" s="12"/>
      <c r="G79" s="12"/>
      <c r="H79" s="4"/>
      <c r="I79" s="12"/>
      <c r="J79" s="4"/>
      <c r="K79" s="4"/>
    </row>
    <row r="80" spans="1:11" x14ac:dyDescent="0.3">
      <c r="A80" s="164"/>
      <c r="B80" s="45" t="s">
        <v>61</v>
      </c>
      <c r="C80" s="44" t="s">
        <v>11</v>
      </c>
      <c r="D80" s="12">
        <f>5*D78</f>
        <v>14</v>
      </c>
      <c r="E80" s="12"/>
      <c r="F80" s="12"/>
      <c r="G80" s="12"/>
      <c r="H80" s="4"/>
      <c r="I80" s="12"/>
      <c r="J80" s="4"/>
      <c r="K80" s="4"/>
    </row>
    <row r="81" spans="1:11" x14ac:dyDescent="0.3">
      <c r="A81" s="164"/>
      <c r="B81" s="45" t="s">
        <v>62</v>
      </c>
      <c r="C81" s="44" t="s">
        <v>11</v>
      </c>
      <c r="D81" s="12">
        <f>0.04*D78</f>
        <v>0.11199999999999999</v>
      </c>
      <c r="E81" s="12"/>
      <c r="F81" s="12"/>
      <c r="G81" s="12"/>
      <c r="H81" s="4"/>
      <c r="I81" s="12"/>
      <c r="J81" s="4"/>
      <c r="K81" s="4"/>
    </row>
    <row r="82" spans="1:11" x14ac:dyDescent="0.3">
      <c r="A82" s="164"/>
      <c r="B82" s="22" t="s">
        <v>48</v>
      </c>
      <c r="C82" s="61" t="s">
        <v>49</v>
      </c>
      <c r="D82" s="21">
        <f>D78*0.1</f>
        <v>0.27999999999999997</v>
      </c>
      <c r="E82" s="21"/>
      <c r="F82" s="12"/>
      <c r="G82" s="21"/>
      <c r="H82" s="4"/>
      <c r="I82" s="21"/>
      <c r="J82" s="4"/>
      <c r="K82" s="4"/>
    </row>
    <row r="83" spans="1:11" x14ac:dyDescent="0.3">
      <c r="A83" s="165"/>
      <c r="B83" s="45" t="s">
        <v>24</v>
      </c>
      <c r="C83" s="44" t="s">
        <v>10</v>
      </c>
      <c r="D83" s="12">
        <f>D78*0.1</f>
        <v>0.27999999999999997</v>
      </c>
      <c r="E83" s="12"/>
      <c r="F83" s="12"/>
      <c r="G83" s="12"/>
      <c r="H83" s="4"/>
      <c r="I83" s="12"/>
      <c r="J83" s="4"/>
      <c r="K83" s="4"/>
    </row>
    <row r="84" spans="1:11" ht="27.6" x14ac:dyDescent="0.3">
      <c r="A84" s="146">
        <v>18</v>
      </c>
      <c r="B84" s="34" t="s">
        <v>292</v>
      </c>
      <c r="C84" s="35" t="s">
        <v>8</v>
      </c>
      <c r="D84" s="64">
        <v>120</v>
      </c>
      <c r="E84" s="136"/>
      <c r="F84" s="137"/>
      <c r="G84" s="123"/>
      <c r="H84" s="4"/>
      <c r="I84" s="21"/>
      <c r="J84" s="4"/>
      <c r="K84" s="4"/>
    </row>
    <row r="85" spans="1:11" x14ac:dyDescent="0.3">
      <c r="A85" s="147"/>
      <c r="B85" s="22" t="s">
        <v>47</v>
      </c>
      <c r="C85" s="44" t="s">
        <v>11</v>
      </c>
      <c r="D85" s="12">
        <f>0.4*D84</f>
        <v>48</v>
      </c>
      <c r="E85" s="50"/>
      <c r="F85" s="12"/>
      <c r="G85" s="42"/>
      <c r="H85" s="4"/>
      <c r="I85" s="42"/>
      <c r="J85" s="4"/>
      <c r="K85" s="4"/>
    </row>
    <row r="86" spans="1:11" x14ac:dyDescent="0.3">
      <c r="A86" s="147"/>
      <c r="B86" s="45" t="s">
        <v>52</v>
      </c>
      <c r="C86" s="44" t="s">
        <v>8</v>
      </c>
      <c r="D86" s="12">
        <f>0.009*D84</f>
        <v>1.0799999999999998</v>
      </c>
      <c r="E86" s="50"/>
      <c r="F86" s="12"/>
      <c r="G86" s="42"/>
      <c r="H86" s="4"/>
      <c r="I86" s="42"/>
      <c r="J86" s="4"/>
      <c r="K86" s="4"/>
    </row>
    <row r="87" spans="1:11" x14ac:dyDescent="0.3">
      <c r="A87" s="147"/>
      <c r="B87" s="45" t="s">
        <v>53</v>
      </c>
      <c r="C87" s="44" t="s">
        <v>9</v>
      </c>
      <c r="D87" s="12">
        <f>0.4*D84</f>
        <v>48</v>
      </c>
      <c r="E87" s="50"/>
      <c r="F87" s="12"/>
      <c r="G87" s="42"/>
      <c r="H87" s="4"/>
      <c r="I87" s="42"/>
      <c r="J87" s="4"/>
      <c r="K87" s="4"/>
    </row>
    <row r="88" spans="1:11" x14ac:dyDescent="0.3">
      <c r="A88" s="147"/>
      <c r="B88" s="45" t="s">
        <v>102</v>
      </c>
      <c r="C88" s="44" t="s">
        <v>19</v>
      </c>
      <c r="D88" s="12">
        <v>2</v>
      </c>
      <c r="E88" s="50"/>
      <c r="F88" s="12"/>
      <c r="G88" s="42"/>
      <c r="H88" s="4"/>
      <c r="I88" s="42"/>
      <c r="J88" s="4"/>
      <c r="K88" s="4"/>
    </row>
    <row r="89" spans="1:11" x14ac:dyDescent="0.3">
      <c r="A89" s="147"/>
      <c r="B89" s="45" t="s">
        <v>54</v>
      </c>
      <c r="C89" s="44" t="s">
        <v>9</v>
      </c>
      <c r="D89" s="12">
        <f>0.3*D84</f>
        <v>36</v>
      </c>
      <c r="E89" s="50"/>
      <c r="F89" s="12"/>
      <c r="G89" s="42"/>
      <c r="H89" s="4"/>
      <c r="I89" s="42"/>
      <c r="J89" s="4"/>
      <c r="K89" s="4"/>
    </row>
    <row r="90" spans="1:11" x14ac:dyDescent="0.3">
      <c r="A90" s="147"/>
      <c r="B90" s="45" t="s">
        <v>55</v>
      </c>
      <c r="C90" s="44" t="s">
        <v>10</v>
      </c>
      <c r="D90" s="12">
        <f>D84*0.03</f>
        <v>3.5999999999999996</v>
      </c>
      <c r="E90" s="50"/>
      <c r="F90" s="12"/>
      <c r="G90" s="12"/>
      <c r="H90" s="4"/>
      <c r="I90" s="12"/>
      <c r="J90" s="4"/>
      <c r="K90" s="4"/>
    </row>
    <row r="91" spans="1:11" ht="27.6" x14ac:dyDescent="0.3">
      <c r="A91" s="146">
        <v>19</v>
      </c>
      <c r="B91" s="34" t="s">
        <v>293</v>
      </c>
      <c r="C91" s="35" t="s">
        <v>8</v>
      </c>
      <c r="D91" s="64">
        <v>68</v>
      </c>
      <c r="E91" s="21"/>
      <c r="F91" s="4"/>
      <c r="G91" s="123"/>
      <c r="H91" s="4"/>
      <c r="I91" s="21"/>
      <c r="J91" s="4"/>
      <c r="K91" s="4"/>
    </row>
    <row r="92" spans="1:11" x14ac:dyDescent="0.3">
      <c r="A92" s="147"/>
      <c r="B92" s="22" t="s">
        <v>47</v>
      </c>
      <c r="C92" s="44" t="s">
        <v>11</v>
      </c>
      <c r="D92" s="12">
        <f>0.4*D91</f>
        <v>27.200000000000003</v>
      </c>
      <c r="E92" s="50"/>
      <c r="F92" s="12"/>
      <c r="G92" s="42"/>
      <c r="H92" s="4"/>
      <c r="I92" s="42"/>
      <c r="J92" s="4"/>
      <c r="K92" s="4"/>
    </row>
    <row r="93" spans="1:11" x14ac:dyDescent="0.3">
      <c r="A93" s="147"/>
      <c r="B93" s="45" t="s">
        <v>52</v>
      </c>
      <c r="C93" s="44" t="s">
        <v>8</v>
      </c>
      <c r="D93" s="12">
        <f>0.009*D91</f>
        <v>0.61199999999999999</v>
      </c>
      <c r="E93" s="50"/>
      <c r="F93" s="12"/>
      <c r="G93" s="42"/>
      <c r="H93" s="4"/>
      <c r="I93" s="42"/>
      <c r="J93" s="4"/>
      <c r="K93" s="4"/>
    </row>
    <row r="94" spans="1:11" x14ac:dyDescent="0.3">
      <c r="A94" s="147"/>
      <c r="B94" s="45" t="s">
        <v>53</v>
      </c>
      <c r="C94" s="44" t="s">
        <v>9</v>
      </c>
      <c r="D94" s="12">
        <f>0.4*D91</f>
        <v>27.200000000000003</v>
      </c>
      <c r="E94" s="50"/>
      <c r="F94" s="12"/>
      <c r="G94" s="42"/>
      <c r="H94" s="4"/>
      <c r="I94" s="42"/>
      <c r="J94" s="4"/>
      <c r="K94" s="4"/>
    </row>
    <row r="95" spans="1:11" x14ac:dyDescent="0.3">
      <c r="A95" s="119"/>
      <c r="B95" s="45" t="s">
        <v>102</v>
      </c>
      <c r="C95" s="44" t="s">
        <v>19</v>
      </c>
      <c r="D95" s="12">
        <v>1</v>
      </c>
      <c r="E95" s="50"/>
      <c r="F95" s="12"/>
      <c r="G95" s="42"/>
      <c r="H95" s="4"/>
      <c r="I95" s="42"/>
      <c r="J95" s="4"/>
      <c r="K95" s="4"/>
    </row>
    <row r="96" spans="1:11" x14ac:dyDescent="0.3">
      <c r="A96" s="120"/>
      <c r="B96" s="45" t="s">
        <v>55</v>
      </c>
      <c r="C96" s="44" t="s">
        <v>10</v>
      </c>
      <c r="D96" s="12">
        <f>D91*0.03</f>
        <v>2.04</v>
      </c>
      <c r="E96" s="50"/>
      <c r="F96" s="12"/>
      <c r="G96" s="12"/>
      <c r="H96" s="4"/>
      <c r="I96" s="12"/>
      <c r="J96" s="4"/>
      <c r="K96" s="4"/>
    </row>
    <row r="97" spans="1:11" ht="27.6" x14ac:dyDescent="0.3">
      <c r="A97" s="163" t="s">
        <v>296</v>
      </c>
      <c r="B97" s="46" t="s">
        <v>40</v>
      </c>
      <c r="C97" s="39" t="s">
        <v>9</v>
      </c>
      <c r="D97" s="40">
        <v>14</v>
      </c>
      <c r="E97" s="12"/>
      <c r="F97" s="12"/>
      <c r="G97" s="12"/>
      <c r="H97" s="4"/>
      <c r="I97" s="12"/>
      <c r="J97" s="4"/>
      <c r="K97" s="4"/>
    </row>
    <row r="98" spans="1:11" x14ac:dyDescent="0.3">
      <c r="A98" s="164"/>
      <c r="B98" s="45" t="s">
        <v>41</v>
      </c>
      <c r="C98" s="44" t="s">
        <v>9</v>
      </c>
      <c r="D98" s="12">
        <f>D97</f>
        <v>14</v>
      </c>
      <c r="E98" s="12"/>
      <c r="F98" s="12"/>
      <c r="G98" s="12"/>
      <c r="H98" s="4"/>
      <c r="I98" s="12"/>
      <c r="J98" s="4"/>
      <c r="K98" s="4"/>
    </row>
    <row r="99" spans="1:11" x14ac:dyDescent="0.3">
      <c r="A99" s="165"/>
      <c r="B99" s="45" t="s">
        <v>24</v>
      </c>
      <c r="C99" s="44" t="s">
        <v>10</v>
      </c>
      <c r="D99" s="12">
        <f>D97*0.3</f>
        <v>4.2</v>
      </c>
      <c r="E99" s="12"/>
      <c r="F99" s="12"/>
      <c r="G99" s="12"/>
      <c r="H99" s="4"/>
      <c r="I99" s="12"/>
      <c r="J99" s="4"/>
      <c r="K99" s="4"/>
    </row>
    <row r="100" spans="1:11" ht="41.4" x14ac:dyDescent="0.3">
      <c r="A100" s="146">
        <v>21</v>
      </c>
      <c r="B100" s="34" t="s">
        <v>98</v>
      </c>
      <c r="C100" s="8" t="s">
        <v>8</v>
      </c>
      <c r="D100" s="64">
        <v>12</v>
      </c>
      <c r="E100" s="21"/>
      <c r="F100" s="12"/>
      <c r="G100" s="21"/>
      <c r="H100" s="4"/>
      <c r="I100" s="21"/>
      <c r="J100" s="4"/>
      <c r="K100" s="4"/>
    </row>
    <row r="101" spans="1:11" x14ac:dyDescent="0.3">
      <c r="A101" s="147"/>
      <c r="B101" s="22" t="s">
        <v>87</v>
      </c>
      <c r="C101" s="61" t="s">
        <v>8</v>
      </c>
      <c r="D101" s="21">
        <f>D100*1.02</f>
        <v>12.24</v>
      </c>
      <c r="E101" s="21"/>
      <c r="F101" s="12"/>
      <c r="G101" s="21"/>
      <c r="H101" s="4"/>
      <c r="I101" s="21"/>
      <c r="J101" s="4"/>
      <c r="K101" s="4"/>
    </row>
    <row r="102" spans="1:11" x14ac:dyDescent="0.3">
      <c r="A102" s="147"/>
      <c r="B102" s="74" t="s">
        <v>88</v>
      </c>
      <c r="C102" s="61" t="s">
        <v>9</v>
      </c>
      <c r="D102" s="21">
        <f>D100*2</f>
        <v>24</v>
      </c>
      <c r="E102" s="21"/>
      <c r="F102" s="12"/>
      <c r="G102" s="75"/>
      <c r="H102" s="4"/>
      <c r="I102" s="21"/>
      <c r="J102" s="4"/>
      <c r="K102" s="4"/>
    </row>
    <row r="103" spans="1:11" x14ac:dyDescent="0.3">
      <c r="A103" s="147"/>
      <c r="B103" s="22" t="s">
        <v>89</v>
      </c>
      <c r="C103" s="61" t="s">
        <v>11</v>
      </c>
      <c r="D103" s="21">
        <f>D100*0.4</f>
        <v>4.8000000000000007</v>
      </c>
      <c r="E103" s="21"/>
      <c r="F103" s="12"/>
      <c r="G103" s="21"/>
      <c r="H103" s="4"/>
      <c r="I103" s="21"/>
      <c r="J103" s="4"/>
      <c r="K103" s="4"/>
    </row>
    <row r="104" spans="1:11" x14ac:dyDescent="0.3">
      <c r="A104" s="147"/>
      <c r="B104" s="22" t="s">
        <v>90</v>
      </c>
      <c r="C104" s="61" t="s">
        <v>11</v>
      </c>
      <c r="D104" s="21">
        <f>D100*0.1</f>
        <v>1.2000000000000002</v>
      </c>
      <c r="E104" s="21"/>
      <c r="F104" s="12"/>
      <c r="G104" s="21"/>
      <c r="H104" s="4"/>
      <c r="I104" s="21"/>
      <c r="J104" s="4"/>
      <c r="K104" s="4"/>
    </row>
    <row r="105" spans="1:11" x14ac:dyDescent="0.3">
      <c r="A105" s="147"/>
      <c r="B105" s="22" t="s">
        <v>91</v>
      </c>
      <c r="C105" s="61" t="s">
        <v>11</v>
      </c>
      <c r="D105" s="21">
        <f>D100*0.35</f>
        <v>4.1999999999999993</v>
      </c>
      <c r="E105" s="21"/>
      <c r="F105" s="12"/>
      <c r="G105" s="21"/>
      <c r="H105" s="4"/>
      <c r="I105" s="21"/>
      <c r="J105" s="4"/>
      <c r="K105" s="4"/>
    </row>
    <row r="106" spans="1:11" x14ac:dyDescent="0.3">
      <c r="A106" s="166"/>
      <c r="B106" s="72" t="s">
        <v>24</v>
      </c>
      <c r="C106" s="61" t="s">
        <v>10</v>
      </c>
      <c r="D106" s="21">
        <f>D100*0.08</f>
        <v>0.96</v>
      </c>
      <c r="E106" s="21"/>
      <c r="F106" s="12"/>
      <c r="G106" s="21"/>
      <c r="H106" s="4"/>
      <c r="I106" s="21"/>
      <c r="J106" s="4"/>
      <c r="K106" s="4"/>
    </row>
    <row r="107" spans="1:11" x14ac:dyDescent="0.3">
      <c r="A107" s="77">
        <v>22</v>
      </c>
      <c r="B107" s="14" t="s">
        <v>99</v>
      </c>
      <c r="C107" s="35" t="s">
        <v>26</v>
      </c>
      <c r="D107" s="64">
        <v>9.5</v>
      </c>
      <c r="E107" s="4"/>
      <c r="F107" s="12"/>
      <c r="G107" s="4"/>
      <c r="H107" s="4"/>
      <c r="I107" s="4"/>
      <c r="J107" s="4"/>
      <c r="K107" s="4"/>
    </row>
    <row r="108" spans="1:11" x14ac:dyDescent="0.3">
      <c r="A108" s="77">
        <v>23</v>
      </c>
      <c r="B108" s="14" t="s">
        <v>100</v>
      </c>
      <c r="C108" s="35" t="s">
        <v>27</v>
      </c>
      <c r="D108" s="64">
        <f>D107*1.8</f>
        <v>17.100000000000001</v>
      </c>
      <c r="E108" s="4"/>
      <c r="F108" s="12"/>
      <c r="G108" s="4"/>
      <c r="H108" s="4"/>
      <c r="I108" s="4"/>
      <c r="J108" s="4"/>
      <c r="K108" s="4"/>
    </row>
    <row r="109" spans="1:11" x14ac:dyDescent="0.3">
      <c r="A109" s="8"/>
      <c r="B109" s="9" t="s">
        <v>6</v>
      </c>
      <c r="C109" s="9"/>
      <c r="D109" s="9"/>
      <c r="E109" s="9"/>
      <c r="F109" s="27">
        <f>SUM(F9:F108)</f>
        <v>0</v>
      </c>
      <c r="G109" s="27"/>
      <c r="H109" s="27">
        <f>SUM(H9:H108)</f>
        <v>0</v>
      </c>
      <c r="I109" s="27"/>
      <c r="J109" s="27">
        <f>SUM(J9:J108)</f>
        <v>0</v>
      </c>
      <c r="K109" s="27">
        <f>SUM(K9:K108)</f>
        <v>0</v>
      </c>
    </row>
    <row r="110" spans="1:11" x14ac:dyDescent="0.3">
      <c r="A110" s="5"/>
      <c r="B110" s="10" t="s">
        <v>12</v>
      </c>
      <c r="C110" s="19"/>
      <c r="D110" s="12"/>
      <c r="E110" s="11"/>
      <c r="F110" s="12"/>
      <c r="G110" s="12"/>
      <c r="H110" s="12"/>
      <c r="I110" s="12"/>
      <c r="J110" s="11"/>
      <c r="K110" s="25">
        <f>F109*C110</f>
        <v>0</v>
      </c>
    </row>
    <row r="111" spans="1:11" x14ac:dyDescent="0.3">
      <c r="A111" s="5"/>
      <c r="B111" s="13" t="s">
        <v>6</v>
      </c>
      <c r="C111" s="18"/>
      <c r="D111" s="12"/>
      <c r="E111" s="11"/>
      <c r="F111" s="11"/>
      <c r="G111" s="12"/>
      <c r="H111" s="12"/>
      <c r="I111" s="12"/>
      <c r="J111" s="11"/>
      <c r="K111" s="25">
        <f>K110+K109</f>
        <v>0</v>
      </c>
    </row>
    <row r="112" spans="1:11" x14ac:dyDescent="0.3">
      <c r="A112" s="5"/>
      <c r="B112" s="10" t="s">
        <v>13</v>
      </c>
      <c r="C112" s="125"/>
      <c r="D112" s="12"/>
      <c r="E112" s="11"/>
      <c r="F112" s="11"/>
      <c r="G112" s="12"/>
      <c r="H112" s="12"/>
      <c r="I112" s="12"/>
      <c r="J112" s="11"/>
      <c r="K112" s="25">
        <f>K111*C112</f>
        <v>0</v>
      </c>
    </row>
    <row r="113" spans="1:11" x14ac:dyDescent="0.3">
      <c r="A113" s="5"/>
      <c r="B113" s="13" t="s">
        <v>6</v>
      </c>
      <c r="C113" s="18"/>
      <c r="D113" s="12"/>
      <c r="E113" s="11"/>
      <c r="F113" s="11"/>
      <c r="G113" s="12"/>
      <c r="H113" s="12"/>
      <c r="I113" s="12"/>
      <c r="J113" s="11"/>
      <c r="K113" s="25">
        <f>SUM(K111:K112)</f>
        <v>0</v>
      </c>
    </row>
    <row r="114" spans="1:11" x14ac:dyDescent="0.3">
      <c r="A114" s="5"/>
      <c r="B114" s="10" t="s">
        <v>14</v>
      </c>
      <c r="C114" s="125"/>
      <c r="D114" s="12"/>
      <c r="E114" s="11"/>
      <c r="F114" s="11"/>
      <c r="G114" s="12"/>
      <c r="H114" s="12"/>
      <c r="I114" s="12"/>
      <c r="J114" s="11"/>
      <c r="K114" s="25">
        <f>K113*C114</f>
        <v>0</v>
      </c>
    </row>
    <row r="115" spans="1:11" x14ac:dyDescent="0.3">
      <c r="A115" s="5"/>
      <c r="B115" s="13" t="s">
        <v>6</v>
      </c>
      <c r="C115" s="18"/>
      <c r="D115" s="12"/>
      <c r="E115" s="11"/>
      <c r="F115" s="11"/>
      <c r="G115" s="12"/>
      <c r="H115" s="12"/>
      <c r="I115" s="12"/>
      <c r="J115" s="11"/>
      <c r="K115" s="25">
        <f>SUM(K113:K114)</f>
        <v>0</v>
      </c>
    </row>
    <row r="116" spans="1:11" x14ac:dyDescent="0.3">
      <c r="A116" s="5"/>
      <c r="B116" s="10" t="s">
        <v>17</v>
      </c>
      <c r="C116" s="19"/>
      <c r="D116" s="12"/>
      <c r="E116" s="11"/>
      <c r="F116" s="11"/>
      <c r="G116" s="12"/>
      <c r="H116" s="12"/>
      <c r="I116" s="12"/>
      <c r="J116" s="11"/>
      <c r="K116" s="25">
        <f>K115*C116</f>
        <v>0</v>
      </c>
    </row>
    <row r="117" spans="1:11" x14ac:dyDescent="0.3">
      <c r="A117" s="5"/>
      <c r="B117" s="10" t="s">
        <v>20</v>
      </c>
      <c r="C117" s="19">
        <v>0.02</v>
      </c>
      <c r="D117" s="12"/>
      <c r="E117" s="11"/>
      <c r="F117" s="11"/>
      <c r="G117" s="12"/>
      <c r="H117" s="12"/>
      <c r="I117" s="12"/>
      <c r="J117" s="11"/>
      <c r="K117" s="25">
        <f>H109*C117</f>
        <v>0</v>
      </c>
    </row>
    <row r="118" spans="1:11" x14ac:dyDescent="0.3">
      <c r="A118" s="5"/>
      <c r="B118" s="13" t="s">
        <v>6</v>
      </c>
      <c r="C118" s="18"/>
      <c r="D118" s="12"/>
      <c r="E118" s="11"/>
      <c r="F118" s="11"/>
      <c r="G118" s="12"/>
      <c r="H118" s="12"/>
      <c r="I118" s="12"/>
      <c r="J118" s="11"/>
      <c r="K118" s="25">
        <f>K117+K116+K115</f>
        <v>0</v>
      </c>
    </row>
    <row r="119" spans="1:11" x14ac:dyDescent="0.3">
      <c r="A119" s="5"/>
      <c r="B119" s="6" t="s">
        <v>15</v>
      </c>
      <c r="C119" s="19">
        <v>0.18</v>
      </c>
      <c r="D119" s="12"/>
      <c r="E119" s="11"/>
      <c r="F119" s="11"/>
      <c r="G119" s="11"/>
      <c r="H119" s="11"/>
      <c r="I119" s="11"/>
      <c r="J119" s="11"/>
      <c r="K119" s="25">
        <f>K118*C119</f>
        <v>0</v>
      </c>
    </row>
    <row r="120" spans="1:11" x14ac:dyDescent="0.3">
      <c r="A120" s="5"/>
      <c r="B120" s="9" t="s">
        <v>16</v>
      </c>
      <c r="C120" s="2"/>
      <c r="D120" s="5"/>
      <c r="E120" s="5"/>
      <c r="F120" s="5"/>
      <c r="G120" s="5"/>
      <c r="H120" s="5"/>
      <c r="I120" s="5"/>
      <c r="J120" s="5"/>
      <c r="K120" s="20">
        <f>K119+K118</f>
        <v>0</v>
      </c>
    </row>
  </sheetData>
  <mergeCells count="29">
    <mergeCell ref="A31:A37"/>
    <mergeCell ref="A9:A15"/>
    <mergeCell ref="A38:A42"/>
    <mergeCell ref="A18:A21"/>
    <mergeCell ref="A22:A29"/>
    <mergeCell ref="B1:I1"/>
    <mergeCell ref="J1:K1"/>
    <mergeCell ref="F4:H4"/>
    <mergeCell ref="I4:J4"/>
    <mergeCell ref="A5:A6"/>
    <mergeCell ref="B5:B6"/>
    <mergeCell ref="C5:C6"/>
    <mergeCell ref="D5:D6"/>
    <mergeCell ref="E5:F5"/>
    <mergeCell ref="B2:K2"/>
    <mergeCell ref="B3:K3"/>
    <mergeCell ref="G5:H5"/>
    <mergeCell ref="I5:J5"/>
    <mergeCell ref="K5:K6"/>
    <mergeCell ref="A97:A99"/>
    <mergeCell ref="A84:A90"/>
    <mergeCell ref="A91:A94"/>
    <mergeCell ref="A100:A106"/>
    <mergeCell ref="A46:A50"/>
    <mergeCell ref="A51:A58"/>
    <mergeCell ref="A63:A67"/>
    <mergeCell ref="A72:A76"/>
    <mergeCell ref="A78:A83"/>
    <mergeCell ref="A68:A71"/>
  </mergeCells>
  <pageMargins left="0.7" right="0.7" top="0.75" bottom="0.75" header="0.3" footer="0.3"/>
  <pageSetup orientation="portrait" horizontalDpi="0" verticalDpi="0" r:id="rId1"/>
  <ignoredErrors>
    <ignoredError sqref="A14:A15 A10 A98:A99 A11:A12" numberStoredAsText="1"/>
    <ignoredError sqref="K113:K1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36"/>
  <sheetViews>
    <sheetView topLeftCell="A15" workbookViewId="0">
      <selection activeCell="E35" sqref="E35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51"/>
      <c r="K1" s="151"/>
    </row>
    <row r="2" spans="1:11" ht="18" customHeight="1" x14ac:dyDescent="0.3">
      <c r="A2" s="15"/>
      <c r="B2" s="161" t="s">
        <v>108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39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K36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123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71">
        <v>1</v>
      </c>
      <c r="B9" s="34" t="s">
        <v>297</v>
      </c>
      <c r="C9" s="35" t="s">
        <v>8</v>
      </c>
      <c r="D9" s="64">
        <v>212</v>
      </c>
      <c r="E9" s="21"/>
      <c r="F9" s="4"/>
      <c r="G9" s="123"/>
      <c r="H9" s="4"/>
      <c r="I9" s="21"/>
      <c r="J9" s="4"/>
      <c r="K9" s="4"/>
    </row>
    <row r="10" spans="1:11" x14ac:dyDescent="0.3">
      <c r="A10" s="172"/>
      <c r="B10" s="22" t="s">
        <v>47</v>
      </c>
      <c r="C10" s="44" t="s">
        <v>11</v>
      </c>
      <c r="D10" s="12">
        <f>0.4*D9</f>
        <v>84.800000000000011</v>
      </c>
      <c r="E10" s="50"/>
      <c r="F10" s="12"/>
      <c r="G10" s="42"/>
      <c r="H10" s="4"/>
      <c r="I10" s="42"/>
      <c r="J10" s="4"/>
      <c r="K10" s="4"/>
    </row>
    <row r="11" spans="1:11" x14ac:dyDescent="0.3">
      <c r="A11" s="172"/>
      <c r="B11" s="45" t="s">
        <v>52</v>
      </c>
      <c r="C11" s="44" t="s">
        <v>8</v>
      </c>
      <c r="D11" s="12">
        <f>0.009*D9</f>
        <v>1.9079999999999999</v>
      </c>
      <c r="E11" s="50"/>
      <c r="F11" s="12"/>
      <c r="G11" s="42"/>
      <c r="H11" s="4"/>
      <c r="I11" s="42"/>
      <c r="J11" s="4"/>
      <c r="K11" s="4"/>
    </row>
    <row r="12" spans="1:11" x14ac:dyDescent="0.3">
      <c r="A12" s="172"/>
      <c r="B12" s="45" t="s">
        <v>53</v>
      </c>
      <c r="C12" s="44" t="s">
        <v>9</v>
      </c>
      <c r="D12" s="12">
        <f>0.4*D9</f>
        <v>84.800000000000011</v>
      </c>
      <c r="E12" s="50"/>
      <c r="F12" s="12"/>
      <c r="G12" s="42"/>
      <c r="H12" s="4"/>
      <c r="I12" s="42"/>
      <c r="J12" s="4"/>
      <c r="K12" s="4"/>
    </row>
    <row r="13" spans="1:11" x14ac:dyDescent="0.3">
      <c r="A13" s="172"/>
      <c r="B13" s="45" t="s">
        <v>102</v>
      </c>
      <c r="C13" s="44" t="s">
        <v>19</v>
      </c>
      <c r="D13" s="12">
        <v>3</v>
      </c>
      <c r="E13" s="50"/>
      <c r="F13" s="12"/>
      <c r="G13" s="42"/>
      <c r="H13" s="4"/>
      <c r="I13" s="42"/>
      <c r="J13" s="4"/>
      <c r="K13" s="4"/>
    </row>
    <row r="14" spans="1:11" x14ac:dyDescent="0.3">
      <c r="A14" s="172"/>
      <c r="B14" s="45" t="s">
        <v>54</v>
      </c>
      <c r="C14" s="44" t="s">
        <v>9</v>
      </c>
      <c r="D14" s="12">
        <f>0.3*D9</f>
        <v>63.599999999999994</v>
      </c>
      <c r="E14" s="50"/>
      <c r="F14" s="12"/>
      <c r="G14" s="42"/>
      <c r="H14" s="4"/>
      <c r="I14" s="42"/>
      <c r="J14" s="4"/>
      <c r="K14" s="4"/>
    </row>
    <row r="15" spans="1:11" x14ac:dyDescent="0.3">
      <c r="A15" s="172"/>
      <c r="B15" s="45" t="s">
        <v>55</v>
      </c>
      <c r="C15" s="44" t="s">
        <v>10</v>
      </c>
      <c r="D15" s="12">
        <f>D9*0.03</f>
        <v>6.3599999999999994</v>
      </c>
      <c r="E15" s="50"/>
      <c r="F15" s="12"/>
      <c r="G15" s="12"/>
      <c r="H15" s="4"/>
      <c r="I15" s="12"/>
      <c r="J15" s="4"/>
      <c r="K15" s="4"/>
    </row>
    <row r="16" spans="1:11" ht="27.6" x14ac:dyDescent="0.3">
      <c r="A16" s="163" t="s">
        <v>30</v>
      </c>
      <c r="B16" s="46" t="s">
        <v>94</v>
      </c>
      <c r="C16" s="39" t="s">
        <v>9</v>
      </c>
      <c r="D16" s="40">
        <v>8</v>
      </c>
      <c r="E16" s="12"/>
      <c r="F16" s="12"/>
      <c r="G16" s="12"/>
      <c r="H16" s="4"/>
      <c r="I16" s="12"/>
      <c r="J16" s="4"/>
      <c r="K16" s="4"/>
    </row>
    <row r="17" spans="1:11" x14ac:dyDescent="0.3">
      <c r="A17" s="164"/>
      <c r="B17" s="45" t="s">
        <v>41</v>
      </c>
      <c r="C17" s="44" t="s">
        <v>9</v>
      </c>
      <c r="D17" s="12">
        <f>D16</f>
        <v>8</v>
      </c>
      <c r="E17" s="12"/>
      <c r="F17" s="12"/>
      <c r="G17" s="12"/>
      <c r="H17" s="4"/>
      <c r="I17" s="12"/>
      <c r="J17" s="4"/>
      <c r="K17" s="4"/>
    </row>
    <row r="18" spans="1:11" x14ac:dyDescent="0.3">
      <c r="A18" s="165"/>
      <c r="B18" s="45" t="s">
        <v>24</v>
      </c>
      <c r="C18" s="44" t="s">
        <v>10</v>
      </c>
      <c r="D18" s="12">
        <f>D16*0.1</f>
        <v>0.8</v>
      </c>
      <c r="E18" s="12"/>
      <c r="F18" s="12"/>
      <c r="G18" s="12"/>
      <c r="H18" s="4"/>
      <c r="I18" s="12"/>
      <c r="J18" s="4"/>
      <c r="K18" s="4"/>
    </row>
    <row r="19" spans="1:11" x14ac:dyDescent="0.3">
      <c r="A19" s="171">
        <v>3</v>
      </c>
      <c r="B19" s="34" t="s">
        <v>298</v>
      </c>
      <c r="C19" s="35" t="s">
        <v>8</v>
      </c>
      <c r="D19" s="64">
        <v>112</v>
      </c>
      <c r="E19" s="21"/>
      <c r="F19" s="4"/>
      <c r="G19" s="123"/>
      <c r="H19" s="4"/>
      <c r="I19" s="21"/>
      <c r="J19" s="4"/>
      <c r="K19" s="4"/>
    </row>
    <row r="20" spans="1:11" x14ac:dyDescent="0.3">
      <c r="A20" s="172"/>
      <c r="B20" s="22" t="s">
        <v>47</v>
      </c>
      <c r="C20" s="44" t="s">
        <v>11</v>
      </c>
      <c r="D20" s="12">
        <f>0.4*D19</f>
        <v>44.800000000000004</v>
      </c>
      <c r="E20" s="50"/>
      <c r="F20" s="12"/>
      <c r="G20" s="42"/>
      <c r="H20" s="4"/>
      <c r="I20" s="42"/>
      <c r="J20" s="4"/>
      <c r="K20" s="4"/>
    </row>
    <row r="21" spans="1:11" x14ac:dyDescent="0.3">
      <c r="A21" s="172"/>
      <c r="B21" s="45" t="s">
        <v>52</v>
      </c>
      <c r="C21" s="44" t="s">
        <v>8</v>
      </c>
      <c r="D21" s="12">
        <f>0.009*D19</f>
        <v>1.008</v>
      </c>
      <c r="E21" s="50"/>
      <c r="F21" s="12"/>
      <c r="G21" s="42"/>
      <c r="H21" s="4"/>
      <c r="I21" s="42"/>
      <c r="J21" s="4"/>
      <c r="K21" s="4"/>
    </row>
    <row r="22" spans="1:11" x14ac:dyDescent="0.3">
      <c r="A22" s="172"/>
      <c r="B22" s="45" t="s">
        <v>102</v>
      </c>
      <c r="C22" s="44" t="s">
        <v>19</v>
      </c>
      <c r="D22" s="12">
        <v>2</v>
      </c>
      <c r="E22" s="50"/>
      <c r="F22" s="12"/>
      <c r="G22" s="42"/>
      <c r="H22" s="4"/>
      <c r="I22" s="42"/>
      <c r="J22" s="4"/>
      <c r="K22" s="4"/>
    </row>
    <row r="23" spans="1:11" x14ac:dyDescent="0.3">
      <c r="A23" s="172"/>
      <c r="B23" s="45" t="s">
        <v>53</v>
      </c>
      <c r="C23" s="44" t="s">
        <v>9</v>
      </c>
      <c r="D23" s="12">
        <f>0.4*D19</f>
        <v>44.800000000000004</v>
      </c>
      <c r="E23" s="50"/>
      <c r="F23" s="12"/>
      <c r="G23" s="42"/>
      <c r="H23" s="4"/>
      <c r="I23" s="42"/>
      <c r="J23" s="4"/>
      <c r="K23" s="4"/>
    </row>
    <row r="24" spans="1:11" x14ac:dyDescent="0.3">
      <c r="A24" s="172"/>
      <c r="B24" s="45" t="s">
        <v>55</v>
      </c>
      <c r="C24" s="44" t="s">
        <v>10</v>
      </c>
      <c r="D24" s="12">
        <f>D19*0.03</f>
        <v>3.36</v>
      </c>
      <c r="E24" s="50"/>
      <c r="F24" s="12"/>
      <c r="G24" s="12"/>
      <c r="H24" s="4"/>
      <c r="I24" s="12"/>
      <c r="J24" s="4"/>
      <c r="K24" s="4"/>
    </row>
    <row r="25" spans="1:11" x14ac:dyDescent="0.3">
      <c r="A25" s="8"/>
      <c r="B25" s="9" t="s">
        <v>6</v>
      </c>
      <c r="C25" s="9"/>
      <c r="D25" s="9"/>
      <c r="E25" s="9"/>
      <c r="F25" s="27">
        <f>SUM(F8:F24)</f>
        <v>0</v>
      </c>
      <c r="G25" s="27"/>
      <c r="H25" s="27">
        <f>SUM(H8:H24)</f>
        <v>0</v>
      </c>
      <c r="I25" s="27"/>
      <c r="J25" s="27">
        <f>SUM(J8:J24)</f>
        <v>0</v>
      </c>
      <c r="K25" s="27">
        <f>SUM(K8:K24)</f>
        <v>0</v>
      </c>
    </row>
    <row r="26" spans="1:11" x14ac:dyDescent="0.3">
      <c r="A26" s="5"/>
      <c r="B26" s="10" t="s">
        <v>12</v>
      </c>
      <c r="C26" s="19"/>
      <c r="D26" s="12"/>
      <c r="E26" s="11"/>
      <c r="F26" s="12"/>
      <c r="G26" s="12"/>
      <c r="H26" s="12"/>
      <c r="I26" s="12"/>
      <c r="J26" s="11"/>
      <c r="K26" s="25">
        <f>F25*C26</f>
        <v>0</v>
      </c>
    </row>
    <row r="27" spans="1:11" x14ac:dyDescent="0.3">
      <c r="A27" s="5"/>
      <c r="B27" s="13" t="s">
        <v>6</v>
      </c>
      <c r="C27" s="18"/>
      <c r="D27" s="12"/>
      <c r="E27" s="11"/>
      <c r="F27" s="11"/>
      <c r="G27" s="12"/>
      <c r="H27" s="12"/>
      <c r="I27" s="12"/>
      <c r="J27" s="11"/>
      <c r="K27" s="25">
        <f>K26+K25</f>
        <v>0</v>
      </c>
    </row>
    <row r="28" spans="1:11" x14ac:dyDescent="0.3">
      <c r="A28" s="5"/>
      <c r="B28" s="10" t="s">
        <v>13</v>
      </c>
      <c r="C28" s="125"/>
      <c r="D28" s="12"/>
      <c r="E28" s="11"/>
      <c r="F28" s="11"/>
      <c r="G28" s="12"/>
      <c r="H28" s="12"/>
      <c r="I28" s="12"/>
      <c r="J28" s="11"/>
      <c r="K28" s="25">
        <f>K27*C28</f>
        <v>0</v>
      </c>
    </row>
    <row r="29" spans="1:11" x14ac:dyDescent="0.3">
      <c r="A29" s="5"/>
      <c r="B29" s="13" t="s">
        <v>6</v>
      </c>
      <c r="C29" s="18"/>
      <c r="D29" s="12"/>
      <c r="E29" s="11"/>
      <c r="F29" s="11"/>
      <c r="G29" s="12"/>
      <c r="H29" s="12"/>
      <c r="I29" s="12"/>
      <c r="J29" s="11"/>
      <c r="K29" s="25">
        <f>SUM(K27:K28)</f>
        <v>0</v>
      </c>
    </row>
    <row r="30" spans="1:11" x14ac:dyDescent="0.3">
      <c r="A30" s="5"/>
      <c r="B30" s="10" t="s">
        <v>14</v>
      </c>
      <c r="C30" s="125"/>
      <c r="D30" s="12"/>
      <c r="E30" s="11"/>
      <c r="F30" s="11"/>
      <c r="G30" s="12"/>
      <c r="H30" s="12"/>
      <c r="I30" s="12"/>
      <c r="J30" s="11"/>
      <c r="K30" s="25">
        <f>K29*C30</f>
        <v>0</v>
      </c>
    </row>
    <row r="31" spans="1:11" x14ac:dyDescent="0.3">
      <c r="A31" s="5"/>
      <c r="B31" s="13" t="s">
        <v>6</v>
      </c>
      <c r="C31" s="18"/>
      <c r="D31" s="12"/>
      <c r="E31" s="11"/>
      <c r="F31" s="11"/>
      <c r="G31" s="12"/>
      <c r="H31" s="12"/>
      <c r="I31" s="12"/>
      <c r="J31" s="11"/>
      <c r="K31" s="25">
        <f>SUM(K29:K30)</f>
        <v>0</v>
      </c>
    </row>
    <row r="32" spans="1:11" x14ac:dyDescent="0.3">
      <c r="A32" s="5"/>
      <c r="B32" s="10" t="s">
        <v>17</v>
      </c>
      <c r="C32" s="19"/>
      <c r="D32" s="12"/>
      <c r="E32" s="11"/>
      <c r="F32" s="11"/>
      <c r="G32" s="12"/>
      <c r="H32" s="12"/>
      <c r="I32" s="12"/>
      <c r="J32" s="11"/>
      <c r="K32" s="25">
        <f>K31*C32</f>
        <v>0</v>
      </c>
    </row>
    <row r="33" spans="1:11" x14ac:dyDescent="0.3">
      <c r="A33" s="5"/>
      <c r="B33" s="10" t="s">
        <v>20</v>
      </c>
      <c r="C33" s="19">
        <v>0.02</v>
      </c>
      <c r="D33" s="12"/>
      <c r="E33" s="11"/>
      <c r="F33" s="11"/>
      <c r="G33" s="12"/>
      <c r="H33" s="12"/>
      <c r="I33" s="12"/>
      <c r="J33" s="11"/>
      <c r="K33" s="25">
        <f>H25*C33</f>
        <v>0</v>
      </c>
    </row>
    <row r="34" spans="1:11" x14ac:dyDescent="0.3">
      <c r="A34" s="5"/>
      <c r="B34" s="13" t="s">
        <v>6</v>
      </c>
      <c r="C34" s="18"/>
      <c r="D34" s="12"/>
      <c r="E34" s="11"/>
      <c r="F34" s="11"/>
      <c r="G34" s="12"/>
      <c r="H34" s="12"/>
      <c r="I34" s="12"/>
      <c r="J34" s="11"/>
      <c r="K34" s="25">
        <f>K33+K32+K31</f>
        <v>0</v>
      </c>
    </row>
    <row r="35" spans="1:11" x14ac:dyDescent="0.3">
      <c r="A35" s="5"/>
      <c r="B35" s="6" t="s">
        <v>15</v>
      </c>
      <c r="C35" s="19">
        <v>0.18</v>
      </c>
      <c r="D35" s="12"/>
      <c r="E35" s="11"/>
      <c r="F35" s="11"/>
      <c r="G35" s="11"/>
      <c r="H35" s="11"/>
      <c r="I35" s="11"/>
      <c r="J35" s="11"/>
      <c r="K35" s="25">
        <f>K34*C35</f>
        <v>0</v>
      </c>
    </row>
    <row r="36" spans="1:11" x14ac:dyDescent="0.3">
      <c r="A36" s="5"/>
      <c r="B36" s="9" t="s">
        <v>16</v>
      </c>
      <c r="C36" s="2"/>
      <c r="D36" s="5"/>
      <c r="E36" s="5"/>
      <c r="F36" s="5"/>
      <c r="G36" s="5"/>
      <c r="H36" s="5"/>
      <c r="I36" s="5"/>
      <c r="J36" s="5"/>
      <c r="K36" s="20">
        <f>K35+K34</f>
        <v>0</v>
      </c>
    </row>
  </sheetData>
  <mergeCells count="17">
    <mergeCell ref="A16:A18"/>
    <mergeCell ref="A19:A24"/>
    <mergeCell ref="I5:J5"/>
    <mergeCell ref="K5:K6"/>
    <mergeCell ref="A9:A15"/>
    <mergeCell ref="A5:A6"/>
    <mergeCell ref="B5:B6"/>
    <mergeCell ref="C5:C6"/>
    <mergeCell ref="D5:D6"/>
    <mergeCell ref="E5:F5"/>
    <mergeCell ref="G5:H5"/>
    <mergeCell ref="B1:I1"/>
    <mergeCell ref="J1:K1"/>
    <mergeCell ref="B2:K2"/>
    <mergeCell ref="B3:K3"/>
    <mergeCell ref="F4:H4"/>
    <mergeCell ref="I4:J4"/>
  </mergeCells>
  <pageMargins left="0.7" right="0.7" top="0.75" bottom="0.75" header="0.3" footer="0.3"/>
  <pageSetup orientation="portrait" horizontalDpi="0" verticalDpi="0" r:id="rId1"/>
  <ignoredErrors>
    <ignoredError sqref="A14:A16 A10 A11:A12" numberStoredAsText="1"/>
    <ignoredError sqref="K29:K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6"/>
  <sheetViews>
    <sheetView topLeftCell="A13" workbookViewId="0">
      <selection activeCell="D32" sqref="D32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51"/>
      <c r="K1" s="151"/>
    </row>
    <row r="2" spans="1:11" ht="18" customHeight="1" x14ac:dyDescent="0.3">
      <c r="A2" s="15"/>
      <c r="B2" s="161" t="s">
        <v>109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43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K36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123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71">
        <v>1</v>
      </c>
      <c r="B9" s="34" t="s">
        <v>299</v>
      </c>
      <c r="C9" s="35" t="s">
        <v>8</v>
      </c>
      <c r="D9" s="64">
        <v>221</v>
      </c>
      <c r="E9" s="21"/>
      <c r="F9" s="4"/>
      <c r="G9" s="123"/>
      <c r="H9" s="4"/>
      <c r="I9" s="21"/>
      <c r="J9" s="4"/>
      <c r="K9" s="4"/>
    </row>
    <row r="10" spans="1:11" x14ac:dyDescent="0.3">
      <c r="A10" s="172"/>
      <c r="B10" s="22" t="s">
        <v>47</v>
      </c>
      <c r="C10" s="44" t="s">
        <v>11</v>
      </c>
      <c r="D10" s="12">
        <f>0.4*D9</f>
        <v>88.4</v>
      </c>
      <c r="E10" s="50"/>
      <c r="F10" s="12"/>
      <c r="G10" s="42"/>
      <c r="H10" s="4"/>
      <c r="I10" s="42"/>
      <c r="J10" s="4"/>
      <c r="K10" s="4"/>
    </row>
    <row r="11" spans="1:11" x14ac:dyDescent="0.3">
      <c r="A11" s="172"/>
      <c r="B11" s="45" t="s">
        <v>52</v>
      </c>
      <c r="C11" s="44" t="s">
        <v>8</v>
      </c>
      <c r="D11" s="12">
        <f>0.009*D9</f>
        <v>1.9889999999999999</v>
      </c>
      <c r="E11" s="50"/>
      <c r="F11" s="12"/>
      <c r="G11" s="42"/>
      <c r="H11" s="4"/>
      <c r="I11" s="42"/>
      <c r="J11" s="4"/>
      <c r="K11" s="4"/>
    </row>
    <row r="12" spans="1:11" x14ac:dyDescent="0.3">
      <c r="A12" s="172"/>
      <c r="B12" s="45" t="s">
        <v>53</v>
      </c>
      <c r="C12" s="44" t="s">
        <v>9</v>
      </c>
      <c r="D12" s="12">
        <f>0.4*D9</f>
        <v>88.4</v>
      </c>
      <c r="E12" s="50"/>
      <c r="F12" s="12"/>
      <c r="G12" s="42"/>
      <c r="H12" s="4"/>
      <c r="I12" s="42"/>
      <c r="J12" s="4"/>
      <c r="K12" s="4"/>
    </row>
    <row r="13" spans="1:11" x14ac:dyDescent="0.3">
      <c r="A13" s="172"/>
      <c r="B13" s="45" t="s">
        <v>102</v>
      </c>
      <c r="C13" s="44" t="s">
        <v>19</v>
      </c>
      <c r="D13" s="12">
        <v>2</v>
      </c>
      <c r="E13" s="50"/>
      <c r="F13" s="12"/>
      <c r="G13" s="42"/>
      <c r="H13" s="4"/>
      <c r="I13" s="42"/>
      <c r="J13" s="4"/>
      <c r="K13" s="4"/>
    </row>
    <row r="14" spans="1:11" x14ac:dyDescent="0.3">
      <c r="A14" s="172"/>
      <c r="B14" s="45" t="s">
        <v>54</v>
      </c>
      <c r="C14" s="44" t="s">
        <v>9</v>
      </c>
      <c r="D14" s="12">
        <f>0.3*D9</f>
        <v>66.3</v>
      </c>
      <c r="E14" s="50"/>
      <c r="F14" s="12"/>
      <c r="G14" s="42"/>
      <c r="H14" s="4"/>
      <c r="I14" s="42"/>
      <c r="J14" s="4"/>
      <c r="K14" s="4"/>
    </row>
    <row r="15" spans="1:11" x14ac:dyDescent="0.3">
      <c r="A15" s="172"/>
      <c r="B15" s="45" t="s">
        <v>55</v>
      </c>
      <c r="C15" s="44" t="s">
        <v>10</v>
      </c>
      <c r="D15" s="12">
        <f>D9*0.03</f>
        <v>6.63</v>
      </c>
      <c r="E15" s="50"/>
      <c r="F15" s="12"/>
      <c r="G15" s="12"/>
      <c r="H15" s="4"/>
      <c r="I15" s="12"/>
      <c r="J15" s="4"/>
      <c r="K15" s="4"/>
    </row>
    <row r="16" spans="1:11" ht="27.6" x14ac:dyDescent="0.3">
      <c r="A16" s="173" t="s">
        <v>30</v>
      </c>
      <c r="B16" s="46" t="s">
        <v>94</v>
      </c>
      <c r="C16" s="39" t="s">
        <v>9</v>
      </c>
      <c r="D16" s="40">
        <v>8</v>
      </c>
      <c r="E16" s="12"/>
      <c r="F16" s="12"/>
      <c r="G16" s="12"/>
      <c r="H16" s="4"/>
      <c r="I16" s="12"/>
      <c r="J16" s="4"/>
      <c r="K16" s="4"/>
    </row>
    <row r="17" spans="1:11" x14ac:dyDescent="0.3">
      <c r="A17" s="174"/>
      <c r="B17" s="45" t="s">
        <v>41</v>
      </c>
      <c r="C17" s="44" t="s">
        <v>9</v>
      </c>
      <c r="D17" s="12">
        <f>D16</f>
        <v>8</v>
      </c>
      <c r="E17" s="12"/>
      <c r="F17" s="12"/>
      <c r="G17" s="12"/>
      <c r="H17" s="4"/>
      <c r="I17" s="12"/>
      <c r="J17" s="4"/>
      <c r="K17" s="4"/>
    </row>
    <row r="18" spans="1:11" x14ac:dyDescent="0.3">
      <c r="A18" s="175"/>
      <c r="B18" s="45" t="s">
        <v>24</v>
      </c>
      <c r="C18" s="44" t="s">
        <v>10</v>
      </c>
      <c r="D18" s="12">
        <f>D16*0.1</f>
        <v>0.8</v>
      </c>
      <c r="E18" s="12"/>
      <c r="F18" s="12"/>
      <c r="G18" s="12"/>
      <c r="H18" s="4"/>
      <c r="I18" s="12"/>
      <c r="J18" s="4"/>
      <c r="K18" s="4"/>
    </row>
    <row r="19" spans="1:11" x14ac:dyDescent="0.3">
      <c r="A19" s="171">
        <v>3</v>
      </c>
      <c r="B19" s="34" t="s">
        <v>298</v>
      </c>
      <c r="C19" s="35" t="s">
        <v>8</v>
      </c>
      <c r="D19" s="64">
        <v>112</v>
      </c>
      <c r="E19" s="21"/>
      <c r="F19" s="4"/>
      <c r="G19" s="123"/>
      <c r="H19" s="4"/>
      <c r="I19" s="21"/>
      <c r="J19" s="4"/>
      <c r="K19" s="4"/>
    </row>
    <row r="20" spans="1:11" x14ac:dyDescent="0.3">
      <c r="A20" s="172"/>
      <c r="B20" s="22" t="s">
        <v>47</v>
      </c>
      <c r="C20" s="44" t="s">
        <v>11</v>
      </c>
      <c r="D20" s="12">
        <f>0.4*D19</f>
        <v>44.800000000000004</v>
      </c>
      <c r="E20" s="50"/>
      <c r="F20" s="12"/>
      <c r="G20" s="42"/>
      <c r="H20" s="4"/>
      <c r="I20" s="42"/>
      <c r="J20" s="4"/>
      <c r="K20" s="4"/>
    </row>
    <row r="21" spans="1:11" x14ac:dyDescent="0.3">
      <c r="A21" s="172"/>
      <c r="B21" s="45" t="s">
        <v>52</v>
      </c>
      <c r="C21" s="44" t="s">
        <v>8</v>
      </c>
      <c r="D21" s="12">
        <f>0.009*D19</f>
        <v>1.008</v>
      </c>
      <c r="E21" s="50"/>
      <c r="F21" s="12"/>
      <c r="G21" s="42"/>
      <c r="H21" s="4"/>
      <c r="I21" s="42"/>
      <c r="J21" s="4"/>
      <c r="K21" s="4"/>
    </row>
    <row r="22" spans="1:11" x14ac:dyDescent="0.3">
      <c r="A22" s="172"/>
      <c r="B22" s="45" t="s">
        <v>53</v>
      </c>
      <c r="C22" s="44" t="s">
        <v>9</v>
      </c>
      <c r="D22" s="12">
        <f>0.4*D19</f>
        <v>44.800000000000004</v>
      </c>
      <c r="E22" s="50"/>
      <c r="F22" s="12"/>
      <c r="G22" s="42"/>
      <c r="H22" s="4"/>
      <c r="I22" s="42"/>
      <c r="J22" s="4"/>
      <c r="K22" s="4"/>
    </row>
    <row r="23" spans="1:11" x14ac:dyDescent="0.3">
      <c r="A23" s="172"/>
      <c r="B23" s="45" t="s">
        <v>102</v>
      </c>
      <c r="C23" s="44" t="s">
        <v>19</v>
      </c>
      <c r="D23" s="12">
        <v>1</v>
      </c>
      <c r="E23" s="50"/>
      <c r="F23" s="12"/>
      <c r="G23" s="42"/>
      <c r="H23" s="4"/>
      <c r="I23" s="42"/>
      <c r="J23" s="4"/>
      <c r="K23" s="4"/>
    </row>
    <row r="24" spans="1:11" x14ac:dyDescent="0.3">
      <c r="A24" s="172"/>
      <c r="B24" s="45" t="s">
        <v>55</v>
      </c>
      <c r="C24" s="44" t="s">
        <v>10</v>
      </c>
      <c r="D24" s="12">
        <f>D19*0.03</f>
        <v>3.36</v>
      </c>
      <c r="E24" s="50"/>
      <c r="F24" s="12"/>
      <c r="G24" s="12"/>
      <c r="H24" s="4"/>
      <c r="I24" s="12"/>
      <c r="J24" s="4"/>
      <c r="K24" s="4"/>
    </row>
    <row r="25" spans="1:11" x14ac:dyDescent="0.3">
      <c r="A25" s="8"/>
      <c r="B25" s="9" t="s">
        <v>6</v>
      </c>
      <c r="C25" s="9"/>
      <c r="D25" s="9"/>
      <c r="E25" s="9"/>
      <c r="F25" s="27">
        <f>SUM(F8:F24)</f>
        <v>0</v>
      </c>
      <c r="G25" s="27"/>
      <c r="H25" s="27">
        <f>SUM(H8:H24)</f>
        <v>0</v>
      </c>
      <c r="I25" s="27"/>
      <c r="J25" s="27">
        <f>SUM(J8:J24)</f>
        <v>0</v>
      </c>
      <c r="K25" s="27">
        <f>SUM(K8:K24)</f>
        <v>0</v>
      </c>
    </row>
    <row r="26" spans="1:11" x14ac:dyDescent="0.3">
      <c r="A26" s="5"/>
      <c r="B26" s="10" t="s">
        <v>12</v>
      </c>
      <c r="C26" s="19"/>
      <c r="D26" s="12"/>
      <c r="E26" s="11"/>
      <c r="F26" s="12"/>
      <c r="G26" s="12"/>
      <c r="H26" s="12"/>
      <c r="I26" s="12"/>
      <c r="J26" s="11"/>
      <c r="K26" s="25">
        <f>F25*C26</f>
        <v>0</v>
      </c>
    </row>
    <row r="27" spans="1:11" x14ac:dyDescent="0.3">
      <c r="A27" s="5"/>
      <c r="B27" s="13" t="s">
        <v>6</v>
      </c>
      <c r="C27" s="18"/>
      <c r="D27" s="12"/>
      <c r="E27" s="11"/>
      <c r="F27" s="11"/>
      <c r="G27" s="12"/>
      <c r="H27" s="12"/>
      <c r="I27" s="12"/>
      <c r="J27" s="11"/>
      <c r="K27" s="25">
        <f>K26+K25</f>
        <v>0</v>
      </c>
    </row>
    <row r="28" spans="1:11" x14ac:dyDescent="0.3">
      <c r="A28" s="5"/>
      <c r="B28" s="10" t="s">
        <v>13</v>
      </c>
      <c r="C28" s="125"/>
      <c r="D28" s="12"/>
      <c r="E28" s="11"/>
      <c r="F28" s="11"/>
      <c r="G28" s="12"/>
      <c r="H28" s="12"/>
      <c r="I28" s="12"/>
      <c r="J28" s="11"/>
      <c r="K28" s="25">
        <f>K27*C28</f>
        <v>0</v>
      </c>
    </row>
    <row r="29" spans="1:11" x14ac:dyDescent="0.3">
      <c r="A29" s="5"/>
      <c r="B29" s="13" t="s">
        <v>6</v>
      </c>
      <c r="C29" s="18"/>
      <c r="D29" s="12"/>
      <c r="E29" s="11"/>
      <c r="F29" s="11"/>
      <c r="G29" s="12"/>
      <c r="H29" s="12"/>
      <c r="I29" s="12"/>
      <c r="J29" s="11"/>
      <c r="K29" s="25">
        <f>SUM(K27:K28)</f>
        <v>0</v>
      </c>
    </row>
    <row r="30" spans="1:11" x14ac:dyDescent="0.3">
      <c r="A30" s="5"/>
      <c r="B30" s="10" t="s">
        <v>14</v>
      </c>
      <c r="C30" s="125"/>
      <c r="D30" s="12"/>
      <c r="E30" s="11"/>
      <c r="F30" s="11"/>
      <c r="G30" s="12"/>
      <c r="H30" s="12"/>
      <c r="I30" s="12"/>
      <c r="J30" s="11"/>
      <c r="K30" s="25">
        <f>K29*C30</f>
        <v>0</v>
      </c>
    </row>
    <row r="31" spans="1:11" x14ac:dyDescent="0.3">
      <c r="A31" s="5"/>
      <c r="B31" s="13" t="s">
        <v>6</v>
      </c>
      <c r="C31" s="18"/>
      <c r="D31" s="12"/>
      <c r="E31" s="11"/>
      <c r="F31" s="11"/>
      <c r="G31" s="12"/>
      <c r="H31" s="12"/>
      <c r="I31" s="12"/>
      <c r="J31" s="11"/>
      <c r="K31" s="25">
        <f>SUM(K29:K30)</f>
        <v>0</v>
      </c>
    </row>
    <row r="32" spans="1:11" x14ac:dyDescent="0.3">
      <c r="A32" s="5"/>
      <c r="B32" s="10" t="s">
        <v>17</v>
      </c>
      <c r="C32" s="19"/>
      <c r="D32" s="12"/>
      <c r="E32" s="11"/>
      <c r="F32" s="11"/>
      <c r="G32" s="12"/>
      <c r="H32" s="12"/>
      <c r="I32" s="12"/>
      <c r="J32" s="11"/>
      <c r="K32" s="25">
        <f>K31*C32</f>
        <v>0</v>
      </c>
    </row>
    <row r="33" spans="1:11" x14ac:dyDescent="0.3">
      <c r="A33" s="5"/>
      <c r="B33" s="10" t="s">
        <v>20</v>
      </c>
      <c r="C33" s="19">
        <v>0.02</v>
      </c>
      <c r="D33" s="12"/>
      <c r="E33" s="11"/>
      <c r="F33" s="11"/>
      <c r="G33" s="12"/>
      <c r="H33" s="12"/>
      <c r="I33" s="12"/>
      <c r="J33" s="11"/>
      <c r="K33" s="25">
        <f>H25*C33</f>
        <v>0</v>
      </c>
    </row>
    <row r="34" spans="1:11" x14ac:dyDescent="0.3">
      <c r="A34" s="5"/>
      <c r="B34" s="13" t="s">
        <v>6</v>
      </c>
      <c r="C34" s="18"/>
      <c r="D34" s="12"/>
      <c r="E34" s="11"/>
      <c r="F34" s="11"/>
      <c r="G34" s="12"/>
      <c r="H34" s="12"/>
      <c r="I34" s="12"/>
      <c r="J34" s="11"/>
      <c r="K34" s="25">
        <f>K33+K32+K31</f>
        <v>0</v>
      </c>
    </row>
    <row r="35" spans="1:11" x14ac:dyDescent="0.3">
      <c r="A35" s="5"/>
      <c r="B35" s="6" t="s">
        <v>15</v>
      </c>
      <c r="C35" s="19">
        <v>0.18</v>
      </c>
      <c r="D35" s="12"/>
      <c r="E35" s="11"/>
      <c r="F35" s="11"/>
      <c r="G35" s="11"/>
      <c r="H35" s="11"/>
      <c r="I35" s="11"/>
      <c r="J35" s="11"/>
      <c r="K35" s="25">
        <f>K34*C35</f>
        <v>0</v>
      </c>
    </row>
    <row r="36" spans="1:11" x14ac:dyDescent="0.3">
      <c r="A36" s="5"/>
      <c r="B36" s="9" t="s">
        <v>16</v>
      </c>
      <c r="C36" s="2"/>
      <c r="D36" s="5"/>
      <c r="E36" s="5"/>
      <c r="F36" s="5"/>
      <c r="G36" s="5"/>
      <c r="H36" s="5"/>
      <c r="I36" s="5"/>
      <c r="J36" s="5"/>
      <c r="K36" s="20">
        <f>K35+K34</f>
        <v>0</v>
      </c>
    </row>
  </sheetData>
  <mergeCells count="17">
    <mergeCell ref="A19:A24"/>
    <mergeCell ref="I5:J5"/>
    <mergeCell ref="J1:K1"/>
    <mergeCell ref="B2:K2"/>
    <mergeCell ref="B3:K3"/>
    <mergeCell ref="F4:H4"/>
    <mergeCell ref="I4:J4"/>
    <mergeCell ref="K5:K6"/>
    <mergeCell ref="A5:A6"/>
    <mergeCell ref="B5:B6"/>
    <mergeCell ref="C5:C6"/>
    <mergeCell ref="D5:D6"/>
    <mergeCell ref="E5:F5"/>
    <mergeCell ref="G5:H5"/>
    <mergeCell ref="B1:I1"/>
    <mergeCell ref="A9:A15"/>
    <mergeCell ref="A16:A18"/>
  </mergeCells>
  <pageMargins left="0.7" right="0.7" top="0.75" bottom="0.75" header="0.3" footer="0.3"/>
  <ignoredErrors>
    <ignoredError sqref="K29:K31" formula="1"/>
    <ignoredError sqref="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36"/>
  <sheetViews>
    <sheetView topLeftCell="A16" workbookViewId="0">
      <selection activeCell="G28" sqref="G28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51"/>
      <c r="K1" s="151"/>
    </row>
    <row r="2" spans="1:11" ht="18" customHeight="1" x14ac:dyDescent="0.3">
      <c r="A2" s="15"/>
      <c r="B2" s="161" t="s">
        <v>110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44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K36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123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71">
        <v>1</v>
      </c>
      <c r="B9" s="34" t="s">
        <v>299</v>
      </c>
      <c r="C9" s="35" t="s">
        <v>8</v>
      </c>
      <c r="D9" s="64">
        <v>221</v>
      </c>
      <c r="E9" s="21"/>
      <c r="F9" s="4"/>
      <c r="G9" s="123"/>
      <c r="H9" s="4"/>
      <c r="I9" s="21"/>
      <c r="J9" s="4"/>
      <c r="K9" s="4"/>
    </row>
    <row r="10" spans="1:11" x14ac:dyDescent="0.3">
      <c r="A10" s="172"/>
      <c r="B10" s="22" t="s">
        <v>47</v>
      </c>
      <c r="C10" s="44" t="s">
        <v>11</v>
      </c>
      <c r="D10" s="12">
        <f>0.4*D9</f>
        <v>88.4</v>
      </c>
      <c r="E10" s="50"/>
      <c r="F10" s="12"/>
      <c r="G10" s="42"/>
      <c r="H10" s="4"/>
      <c r="I10" s="42"/>
      <c r="J10" s="4"/>
      <c r="K10" s="4"/>
    </row>
    <row r="11" spans="1:11" x14ac:dyDescent="0.3">
      <c r="A11" s="172"/>
      <c r="B11" s="45" t="s">
        <v>52</v>
      </c>
      <c r="C11" s="44" t="s">
        <v>8</v>
      </c>
      <c r="D11" s="12">
        <f>0.009*D9</f>
        <v>1.9889999999999999</v>
      </c>
      <c r="E11" s="50"/>
      <c r="F11" s="12"/>
      <c r="G11" s="42"/>
      <c r="H11" s="4"/>
      <c r="I11" s="42"/>
      <c r="J11" s="4"/>
      <c r="K11" s="4"/>
    </row>
    <row r="12" spans="1:11" x14ac:dyDescent="0.3">
      <c r="A12" s="172"/>
      <c r="B12" s="45" t="s">
        <v>53</v>
      </c>
      <c r="C12" s="44" t="s">
        <v>9</v>
      </c>
      <c r="D12" s="12">
        <f>0.4*D9</f>
        <v>88.4</v>
      </c>
      <c r="E12" s="50"/>
      <c r="F12" s="12"/>
      <c r="G12" s="42"/>
      <c r="H12" s="4"/>
      <c r="I12" s="42"/>
      <c r="J12" s="4"/>
      <c r="K12" s="4"/>
    </row>
    <row r="13" spans="1:11" x14ac:dyDescent="0.3">
      <c r="A13" s="172"/>
      <c r="B13" s="45" t="s">
        <v>54</v>
      </c>
      <c r="C13" s="44" t="s">
        <v>9</v>
      </c>
      <c r="D13" s="12">
        <f>0.3*D9</f>
        <v>66.3</v>
      </c>
      <c r="E13" s="50"/>
      <c r="F13" s="12"/>
      <c r="G13" s="42"/>
      <c r="H13" s="4"/>
      <c r="I13" s="42"/>
      <c r="J13" s="4"/>
      <c r="K13" s="4"/>
    </row>
    <row r="14" spans="1:11" x14ac:dyDescent="0.3">
      <c r="A14" s="172"/>
      <c r="B14" s="45" t="s">
        <v>102</v>
      </c>
      <c r="C14" s="44" t="s">
        <v>19</v>
      </c>
      <c r="D14" s="12">
        <v>3</v>
      </c>
      <c r="E14" s="50"/>
      <c r="F14" s="12"/>
      <c r="G14" s="42"/>
      <c r="H14" s="4"/>
      <c r="I14" s="42"/>
      <c r="J14" s="4"/>
      <c r="K14" s="4"/>
    </row>
    <row r="15" spans="1:11" x14ac:dyDescent="0.3">
      <c r="A15" s="172"/>
      <c r="B15" s="45" t="s">
        <v>55</v>
      </c>
      <c r="C15" s="44" t="s">
        <v>10</v>
      </c>
      <c r="D15" s="12">
        <f>D9*0.03</f>
        <v>6.63</v>
      </c>
      <c r="E15" s="50"/>
      <c r="F15" s="12"/>
      <c r="G15" s="12"/>
      <c r="H15" s="4"/>
      <c r="I15" s="12"/>
      <c r="J15" s="4"/>
      <c r="K15" s="4"/>
    </row>
    <row r="16" spans="1:11" ht="27.6" x14ac:dyDescent="0.3">
      <c r="A16" s="163" t="s">
        <v>30</v>
      </c>
      <c r="B16" s="46" t="s">
        <v>94</v>
      </c>
      <c r="C16" s="39" t="s">
        <v>9</v>
      </c>
      <c r="D16" s="40">
        <v>8</v>
      </c>
      <c r="E16" s="12"/>
      <c r="F16" s="12"/>
      <c r="G16" s="12"/>
      <c r="H16" s="4"/>
      <c r="I16" s="12"/>
      <c r="J16" s="4"/>
      <c r="K16" s="4"/>
    </row>
    <row r="17" spans="1:11" x14ac:dyDescent="0.3">
      <c r="A17" s="164"/>
      <c r="B17" s="45" t="s">
        <v>41</v>
      </c>
      <c r="C17" s="44" t="s">
        <v>9</v>
      </c>
      <c r="D17" s="12">
        <f>D16</f>
        <v>8</v>
      </c>
      <c r="E17" s="12"/>
      <c r="F17" s="12"/>
      <c r="G17" s="12"/>
      <c r="H17" s="4"/>
      <c r="I17" s="12"/>
      <c r="J17" s="4"/>
      <c r="K17" s="4"/>
    </row>
    <row r="18" spans="1:11" x14ac:dyDescent="0.3">
      <c r="A18" s="165"/>
      <c r="B18" s="45" t="s">
        <v>24</v>
      </c>
      <c r="C18" s="44" t="s">
        <v>10</v>
      </c>
      <c r="D18" s="12">
        <f>D16*0.1</f>
        <v>0.8</v>
      </c>
      <c r="E18" s="12"/>
      <c r="F18" s="12"/>
      <c r="G18" s="12"/>
      <c r="H18" s="4"/>
      <c r="I18" s="12"/>
      <c r="J18" s="4"/>
      <c r="K18" s="4"/>
    </row>
    <row r="19" spans="1:11" x14ac:dyDescent="0.3">
      <c r="A19" s="171">
        <v>3</v>
      </c>
      <c r="B19" s="34" t="s">
        <v>298</v>
      </c>
      <c r="C19" s="35" t="s">
        <v>8</v>
      </c>
      <c r="D19" s="64">
        <v>112</v>
      </c>
      <c r="E19" s="21"/>
      <c r="F19" s="4"/>
      <c r="G19" s="123"/>
      <c r="H19" s="4"/>
      <c r="I19" s="21"/>
      <c r="J19" s="4"/>
      <c r="K19" s="4"/>
    </row>
    <row r="20" spans="1:11" x14ac:dyDescent="0.3">
      <c r="A20" s="172"/>
      <c r="B20" s="22" t="s">
        <v>47</v>
      </c>
      <c r="C20" s="44" t="s">
        <v>11</v>
      </c>
      <c r="D20" s="12">
        <f>0.4*D19</f>
        <v>44.800000000000004</v>
      </c>
      <c r="E20" s="50"/>
      <c r="F20" s="12"/>
      <c r="G20" s="42"/>
      <c r="H20" s="4"/>
      <c r="I20" s="42"/>
      <c r="J20" s="4"/>
      <c r="K20" s="4"/>
    </row>
    <row r="21" spans="1:11" x14ac:dyDescent="0.3">
      <c r="A21" s="172"/>
      <c r="B21" s="45" t="s">
        <v>52</v>
      </c>
      <c r="C21" s="44" t="s">
        <v>8</v>
      </c>
      <c r="D21" s="12">
        <f>0.009*D19</f>
        <v>1.008</v>
      </c>
      <c r="E21" s="50"/>
      <c r="F21" s="12"/>
      <c r="G21" s="42"/>
      <c r="H21" s="4"/>
      <c r="I21" s="42"/>
      <c r="J21" s="4"/>
      <c r="K21" s="4"/>
    </row>
    <row r="22" spans="1:11" x14ac:dyDescent="0.3">
      <c r="A22" s="172"/>
      <c r="B22" s="45" t="s">
        <v>53</v>
      </c>
      <c r="C22" s="44" t="s">
        <v>9</v>
      </c>
      <c r="D22" s="12">
        <f>0.4*D19</f>
        <v>44.800000000000004</v>
      </c>
      <c r="E22" s="50"/>
      <c r="F22" s="12"/>
      <c r="G22" s="42"/>
      <c r="H22" s="4"/>
      <c r="I22" s="42"/>
      <c r="J22" s="4"/>
      <c r="K22" s="4"/>
    </row>
    <row r="23" spans="1:11" x14ac:dyDescent="0.3">
      <c r="A23" s="172"/>
      <c r="B23" s="45" t="s">
        <v>102</v>
      </c>
      <c r="C23" s="44" t="s">
        <v>19</v>
      </c>
      <c r="D23" s="12">
        <v>1</v>
      </c>
      <c r="E23" s="50"/>
      <c r="F23" s="12"/>
      <c r="G23" s="42"/>
      <c r="H23" s="4"/>
      <c r="I23" s="42"/>
      <c r="J23" s="4"/>
      <c r="K23" s="4"/>
    </row>
    <row r="24" spans="1:11" x14ac:dyDescent="0.3">
      <c r="A24" s="172"/>
      <c r="B24" s="45" t="s">
        <v>55</v>
      </c>
      <c r="C24" s="44" t="s">
        <v>10</v>
      </c>
      <c r="D24" s="12">
        <f>D19*0.03</f>
        <v>3.36</v>
      </c>
      <c r="E24" s="50"/>
      <c r="F24" s="12"/>
      <c r="G24" s="12"/>
      <c r="H24" s="4"/>
      <c r="I24" s="12"/>
      <c r="J24" s="4"/>
      <c r="K24" s="4"/>
    </row>
    <row r="25" spans="1:11" x14ac:dyDescent="0.3">
      <c r="A25" s="8"/>
      <c r="B25" s="9" t="s">
        <v>6</v>
      </c>
      <c r="C25" s="9"/>
      <c r="D25" s="9"/>
      <c r="E25" s="9"/>
      <c r="F25" s="27">
        <f>SUM(F8:F24)</f>
        <v>0</v>
      </c>
      <c r="G25" s="27"/>
      <c r="H25" s="27">
        <f>SUM(H8:H24)</f>
        <v>0</v>
      </c>
      <c r="I25" s="27"/>
      <c r="J25" s="27">
        <f>SUM(J8:J24)</f>
        <v>0</v>
      </c>
      <c r="K25" s="27">
        <f>SUM(K8:K24)</f>
        <v>0</v>
      </c>
    </row>
    <row r="26" spans="1:11" x14ac:dyDescent="0.3">
      <c r="A26" s="5"/>
      <c r="B26" s="10" t="s">
        <v>12</v>
      </c>
      <c r="C26" s="19"/>
      <c r="D26" s="12"/>
      <c r="E26" s="11"/>
      <c r="F26" s="12"/>
      <c r="G26" s="12"/>
      <c r="H26" s="12"/>
      <c r="I26" s="12"/>
      <c r="J26" s="11"/>
      <c r="K26" s="25">
        <f>F25*C26</f>
        <v>0</v>
      </c>
    </row>
    <row r="27" spans="1:11" x14ac:dyDescent="0.3">
      <c r="A27" s="5"/>
      <c r="B27" s="13" t="s">
        <v>6</v>
      </c>
      <c r="C27" s="18"/>
      <c r="D27" s="12"/>
      <c r="E27" s="11"/>
      <c r="F27" s="11"/>
      <c r="G27" s="12"/>
      <c r="H27" s="12"/>
      <c r="I27" s="12"/>
      <c r="J27" s="11"/>
      <c r="K27" s="25">
        <f>K26+K25</f>
        <v>0</v>
      </c>
    </row>
    <row r="28" spans="1:11" x14ac:dyDescent="0.3">
      <c r="A28" s="5"/>
      <c r="B28" s="10" t="s">
        <v>13</v>
      </c>
      <c r="C28" s="125"/>
      <c r="D28" s="12"/>
      <c r="E28" s="11"/>
      <c r="F28" s="11"/>
      <c r="G28" s="12"/>
      <c r="H28" s="12"/>
      <c r="I28" s="12"/>
      <c r="J28" s="11"/>
      <c r="K28" s="25">
        <f>K27*C28</f>
        <v>0</v>
      </c>
    </row>
    <row r="29" spans="1:11" x14ac:dyDescent="0.3">
      <c r="A29" s="5"/>
      <c r="B29" s="13" t="s">
        <v>6</v>
      </c>
      <c r="C29" s="18"/>
      <c r="D29" s="12"/>
      <c r="E29" s="11"/>
      <c r="F29" s="11"/>
      <c r="G29" s="12"/>
      <c r="H29" s="12"/>
      <c r="I29" s="12"/>
      <c r="J29" s="11"/>
      <c r="K29" s="25">
        <f>SUM(K27:K28)</f>
        <v>0</v>
      </c>
    </row>
    <row r="30" spans="1:11" x14ac:dyDescent="0.3">
      <c r="A30" s="5"/>
      <c r="B30" s="10" t="s">
        <v>14</v>
      </c>
      <c r="C30" s="125"/>
      <c r="D30" s="12"/>
      <c r="E30" s="11"/>
      <c r="F30" s="11"/>
      <c r="G30" s="12"/>
      <c r="H30" s="12"/>
      <c r="I30" s="12"/>
      <c r="J30" s="11"/>
      <c r="K30" s="25">
        <f>K29*C30</f>
        <v>0</v>
      </c>
    </row>
    <row r="31" spans="1:11" x14ac:dyDescent="0.3">
      <c r="A31" s="5"/>
      <c r="B31" s="13" t="s">
        <v>6</v>
      </c>
      <c r="C31" s="18"/>
      <c r="D31" s="12"/>
      <c r="E31" s="11"/>
      <c r="F31" s="11"/>
      <c r="G31" s="12"/>
      <c r="H31" s="12"/>
      <c r="I31" s="12"/>
      <c r="J31" s="11"/>
      <c r="K31" s="25">
        <f>SUM(K29:K30)</f>
        <v>0</v>
      </c>
    </row>
    <row r="32" spans="1:11" x14ac:dyDescent="0.3">
      <c r="A32" s="5"/>
      <c r="B32" s="10" t="s">
        <v>17</v>
      </c>
      <c r="C32" s="19"/>
      <c r="D32" s="12"/>
      <c r="E32" s="11"/>
      <c r="F32" s="11"/>
      <c r="G32" s="12"/>
      <c r="H32" s="12"/>
      <c r="I32" s="12"/>
      <c r="J32" s="11"/>
      <c r="K32" s="25">
        <f>K31*C32</f>
        <v>0</v>
      </c>
    </row>
    <row r="33" spans="1:11" x14ac:dyDescent="0.3">
      <c r="A33" s="5"/>
      <c r="B33" s="10" t="s">
        <v>20</v>
      </c>
      <c r="C33" s="19">
        <v>0.02</v>
      </c>
      <c r="D33" s="12"/>
      <c r="E33" s="11"/>
      <c r="F33" s="11"/>
      <c r="G33" s="12"/>
      <c r="H33" s="12"/>
      <c r="I33" s="12"/>
      <c r="J33" s="11"/>
      <c r="K33" s="25">
        <f>H25*C33</f>
        <v>0</v>
      </c>
    </row>
    <row r="34" spans="1:11" x14ac:dyDescent="0.3">
      <c r="A34" s="5"/>
      <c r="B34" s="13" t="s">
        <v>6</v>
      </c>
      <c r="C34" s="18"/>
      <c r="D34" s="12"/>
      <c r="E34" s="11"/>
      <c r="F34" s="11"/>
      <c r="G34" s="12"/>
      <c r="H34" s="12"/>
      <c r="I34" s="12"/>
      <c r="J34" s="11"/>
      <c r="K34" s="25">
        <f>K33+K32+K31</f>
        <v>0</v>
      </c>
    </row>
    <row r="35" spans="1:11" x14ac:dyDescent="0.3">
      <c r="A35" s="5"/>
      <c r="B35" s="6" t="s">
        <v>15</v>
      </c>
      <c r="C35" s="19">
        <v>0.18</v>
      </c>
      <c r="D35" s="12"/>
      <c r="E35" s="11"/>
      <c r="F35" s="11"/>
      <c r="G35" s="11"/>
      <c r="H35" s="11"/>
      <c r="I35" s="11"/>
      <c r="J35" s="11"/>
      <c r="K35" s="25">
        <f>K34*C35</f>
        <v>0</v>
      </c>
    </row>
    <row r="36" spans="1:11" x14ac:dyDescent="0.3">
      <c r="A36" s="5"/>
      <c r="B36" s="9" t="s">
        <v>16</v>
      </c>
      <c r="C36" s="2"/>
      <c r="D36" s="5"/>
      <c r="E36" s="5"/>
      <c r="F36" s="5"/>
      <c r="G36" s="5"/>
      <c r="H36" s="5"/>
      <c r="I36" s="5"/>
      <c r="J36" s="5"/>
      <c r="K36" s="20">
        <f>K35+K34</f>
        <v>0</v>
      </c>
    </row>
  </sheetData>
  <mergeCells count="17">
    <mergeCell ref="A16:A18"/>
    <mergeCell ref="A19:A24"/>
    <mergeCell ref="J1:K1"/>
    <mergeCell ref="B2:K2"/>
    <mergeCell ref="B3:K3"/>
    <mergeCell ref="F4:H4"/>
    <mergeCell ref="I4:J4"/>
    <mergeCell ref="K5:K6"/>
    <mergeCell ref="A5:A6"/>
    <mergeCell ref="B5:B6"/>
    <mergeCell ref="C5:C6"/>
    <mergeCell ref="D5:D6"/>
    <mergeCell ref="E5:F5"/>
    <mergeCell ref="G5:H5"/>
    <mergeCell ref="B1:I1"/>
    <mergeCell ref="I5:J5"/>
    <mergeCell ref="A9:A15"/>
  </mergeCells>
  <pageMargins left="0.7" right="0.7" top="0.75" bottom="0.75" header="0.3" footer="0.3"/>
  <ignoredErrors>
    <ignoredError sqref="K29:K31" formula="1"/>
    <ignoredError sqref="A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30"/>
  <sheetViews>
    <sheetView topLeftCell="A4" workbookViewId="0">
      <selection activeCell="D24" sqref="D24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67"/>
      <c r="K1" s="167"/>
    </row>
    <row r="2" spans="1:11" ht="18" customHeight="1" x14ac:dyDescent="0.3">
      <c r="A2" s="15"/>
      <c r="B2" s="161" t="s">
        <v>111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45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K30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6.2" x14ac:dyDescent="0.3">
      <c r="A8" s="33"/>
      <c r="B8" s="52" t="s">
        <v>125</v>
      </c>
      <c r="C8" s="33"/>
      <c r="D8" s="33"/>
      <c r="E8" s="26"/>
      <c r="F8" s="26"/>
      <c r="G8" s="26"/>
      <c r="H8" s="26"/>
      <c r="I8" s="26"/>
      <c r="J8" s="26"/>
      <c r="K8" s="26"/>
    </row>
    <row r="9" spans="1:11" ht="27.6" x14ac:dyDescent="0.3">
      <c r="A9" s="171">
        <v>1</v>
      </c>
      <c r="B9" s="34" t="s">
        <v>300</v>
      </c>
      <c r="C9" s="35" t="s">
        <v>8</v>
      </c>
      <c r="D9" s="64">
        <v>192</v>
      </c>
      <c r="E9" s="21"/>
      <c r="F9" s="4"/>
      <c r="G9" s="123"/>
      <c r="H9" s="4"/>
      <c r="I9" s="21"/>
      <c r="J9" s="4"/>
      <c r="K9" s="4"/>
    </row>
    <row r="10" spans="1:11" x14ac:dyDescent="0.3">
      <c r="A10" s="172"/>
      <c r="B10" s="22" t="s">
        <v>47</v>
      </c>
      <c r="C10" s="44" t="s">
        <v>11</v>
      </c>
      <c r="D10" s="12">
        <f>0.4*D9</f>
        <v>76.800000000000011</v>
      </c>
      <c r="E10" s="50"/>
      <c r="F10" s="12"/>
      <c r="G10" s="42"/>
      <c r="H10" s="42"/>
      <c r="I10" s="42"/>
      <c r="J10" s="43"/>
      <c r="K10" s="4"/>
    </row>
    <row r="11" spans="1:11" x14ac:dyDescent="0.3">
      <c r="A11" s="172"/>
      <c r="B11" s="45" t="s">
        <v>52</v>
      </c>
      <c r="C11" s="44" t="s">
        <v>8</v>
      </c>
      <c r="D11" s="12">
        <f>0.009*D9</f>
        <v>1.7279999999999998</v>
      </c>
      <c r="E11" s="50"/>
      <c r="F11" s="12"/>
      <c r="G11" s="42"/>
      <c r="H11" s="42"/>
      <c r="I11" s="42"/>
      <c r="J11" s="43"/>
      <c r="K11" s="4"/>
    </row>
    <row r="12" spans="1:11" x14ac:dyDescent="0.3">
      <c r="A12" s="172"/>
      <c r="B12" s="45" t="s">
        <v>53</v>
      </c>
      <c r="C12" s="44" t="s">
        <v>9</v>
      </c>
      <c r="D12" s="12">
        <f>0.4*D9</f>
        <v>76.800000000000011</v>
      </c>
      <c r="E12" s="50"/>
      <c r="F12" s="12"/>
      <c r="G12" s="42"/>
      <c r="H12" s="42"/>
      <c r="I12" s="42"/>
      <c r="J12" s="43"/>
      <c r="K12" s="4"/>
    </row>
    <row r="13" spans="1:11" x14ac:dyDescent="0.3">
      <c r="A13" s="172"/>
      <c r="B13" s="45" t="s">
        <v>54</v>
      </c>
      <c r="C13" s="44" t="s">
        <v>9</v>
      </c>
      <c r="D13" s="12">
        <f>0.3*D9</f>
        <v>57.599999999999994</v>
      </c>
      <c r="E13" s="50"/>
      <c r="F13" s="12"/>
      <c r="G13" s="42"/>
      <c r="H13" s="42"/>
      <c r="I13" s="42"/>
      <c r="J13" s="43"/>
      <c r="K13" s="4"/>
    </row>
    <row r="14" spans="1:11" x14ac:dyDescent="0.3">
      <c r="A14" s="172"/>
      <c r="B14" s="45" t="s">
        <v>102</v>
      </c>
      <c r="C14" s="44" t="s">
        <v>19</v>
      </c>
      <c r="D14" s="12">
        <v>2</v>
      </c>
      <c r="E14" s="50"/>
      <c r="F14" s="12"/>
      <c r="G14" s="42"/>
      <c r="H14" s="42"/>
      <c r="I14" s="42"/>
      <c r="J14" s="43"/>
      <c r="K14" s="4"/>
    </row>
    <row r="15" spans="1:11" x14ac:dyDescent="0.3">
      <c r="A15" s="172"/>
      <c r="B15" s="45" t="s">
        <v>55</v>
      </c>
      <c r="C15" s="44" t="s">
        <v>10</v>
      </c>
      <c r="D15" s="12">
        <f>D9*0.03</f>
        <v>5.76</v>
      </c>
      <c r="E15" s="50"/>
      <c r="F15" s="12"/>
      <c r="G15" s="12"/>
      <c r="H15" s="42"/>
      <c r="I15" s="12"/>
      <c r="J15" s="43"/>
      <c r="K15" s="4"/>
    </row>
    <row r="16" spans="1:11" x14ac:dyDescent="0.3">
      <c r="A16" s="163" t="s">
        <v>30</v>
      </c>
      <c r="B16" s="46" t="s">
        <v>95</v>
      </c>
      <c r="C16" s="39" t="s">
        <v>9</v>
      </c>
      <c r="D16" s="59">
        <v>42</v>
      </c>
      <c r="E16" s="59"/>
      <c r="F16" s="50"/>
      <c r="G16" s="50"/>
      <c r="H16" s="50"/>
      <c r="I16" s="50"/>
      <c r="J16" s="60"/>
      <c r="K16" s="12"/>
    </row>
    <row r="17" spans="1:11" x14ac:dyDescent="0.3">
      <c r="A17" s="164"/>
      <c r="B17" s="45" t="s">
        <v>42</v>
      </c>
      <c r="C17" s="44" t="s">
        <v>9</v>
      </c>
      <c r="D17" s="50">
        <f>1.05*D16</f>
        <v>44.1</v>
      </c>
      <c r="E17" s="50"/>
      <c r="F17" s="50"/>
      <c r="G17" s="50"/>
      <c r="H17" s="50"/>
      <c r="I17" s="50"/>
      <c r="J17" s="60"/>
      <c r="K17" s="12"/>
    </row>
    <row r="18" spans="1:11" x14ac:dyDescent="0.3">
      <c r="A18" s="165"/>
      <c r="B18" s="45" t="s">
        <v>24</v>
      </c>
      <c r="C18" s="44" t="s">
        <v>10</v>
      </c>
      <c r="D18" s="50">
        <f>D16*0.08</f>
        <v>3.36</v>
      </c>
      <c r="E18" s="50"/>
      <c r="F18" s="50"/>
      <c r="G18" s="50"/>
      <c r="H18" s="50"/>
      <c r="I18" s="50"/>
      <c r="J18" s="60"/>
      <c r="K18" s="12"/>
    </row>
    <row r="19" spans="1:11" x14ac:dyDescent="0.3">
      <c r="A19" s="8"/>
      <c r="B19" s="9" t="s">
        <v>6</v>
      </c>
      <c r="C19" s="9"/>
      <c r="D19" s="9"/>
      <c r="E19" s="9"/>
      <c r="F19" s="27">
        <f>SUM(F8:F18)</f>
        <v>0</v>
      </c>
      <c r="G19" s="27"/>
      <c r="H19" s="27">
        <f>SUM(H8:H18)</f>
        <v>0</v>
      </c>
      <c r="I19" s="27"/>
      <c r="J19" s="27">
        <f>SUM(J8:J18)</f>
        <v>0</v>
      </c>
      <c r="K19" s="27">
        <f>SUM(K8:K18)</f>
        <v>0</v>
      </c>
    </row>
    <row r="20" spans="1:11" x14ac:dyDescent="0.3">
      <c r="A20" s="5"/>
      <c r="B20" s="10" t="s">
        <v>12</v>
      </c>
      <c r="C20" s="19"/>
      <c r="D20" s="12"/>
      <c r="E20" s="11"/>
      <c r="F20" s="12"/>
      <c r="G20" s="12"/>
      <c r="H20" s="12"/>
      <c r="I20" s="12"/>
      <c r="J20" s="11"/>
      <c r="K20" s="25">
        <f>F19*C20</f>
        <v>0</v>
      </c>
    </row>
    <row r="21" spans="1:11" x14ac:dyDescent="0.3">
      <c r="A21" s="5"/>
      <c r="B21" s="13" t="s">
        <v>6</v>
      </c>
      <c r="C21" s="18"/>
      <c r="D21" s="12"/>
      <c r="E21" s="11"/>
      <c r="F21" s="11"/>
      <c r="G21" s="12"/>
      <c r="H21" s="12"/>
      <c r="I21" s="12"/>
      <c r="J21" s="11"/>
      <c r="K21" s="25">
        <f>K20+K19</f>
        <v>0</v>
      </c>
    </row>
    <row r="22" spans="1:11" x14ac:dyDescent="0.3">
      <c r="A22" s="5"/>
      <c r="B22" s="10" t="s">
        <v>13</v>
      </c>
      <c r="C22" s="125"/>
      <c r="D22" s="12"/>
      <c r="E22" s="11"/>
      <c r="F22" s="11"/>
      <c r="G22" s="12"/>
      <c r="H22" s="12"/>
      <c r="I22" s="12"/>
      <c r="J22" s="11"/>
      <c r="K22" s="25">
        <f>K21*C22</f>
        <v>0</v>
      </c>
    </row>
    <row r="23" spans="1:11" x14ac:dyDescent="0.3">
      <c r="A23" s="5"/>
      <c r="B23" s="13" t="s">
        <v>6</v>
      </c>
      <c r="C23" s="18"/>
      <c r="D23" s="12"/>
      <c r="E23" s="11"/>
      <c r="F23" s="11"/>
      <c r="G23" s="12"/>
      <c r="H23" s="12"/>
      <c r="I23" s="12"/>
      <c r="J23" s="11"/>
      <c r="K23" s="25">
        <f>SUM(K21:K22)</f>
        <v>0</v>
      </c>
    </row>
    <row r="24" spans="1:11" x14ac:dyDescent="0.3">
      <c r="A24" s="5"/>
      <c r="B24" s="10" t="s">
        <v>14</v>
      </c>
      <c r="C24" s="125"/>
      <c r="D24" s="12"/>
      <c r="E24" s="11"/>
      <c r="F24" s="11"/>
      <c r="G24" s="12"/>
      <c r="H24" s="12"/>
      <c r="I24" s="12"/>
      <c r="J24" s="11"/>
      <c r="K24" s="25">
        <f>K23*C24</f>
        <v>0</v>
      </c>
    </row>
    <row r="25" spans="1:11" x14ac:dyDescent="0.3">
      <c r="A25" s="5"/>
      <c r="B25" s="13" t="s">
        <v>6</v>
      </c>
      <c r="C25" s="18"/>
      <c r="D25" s="12"/>
      <c r="E25" s="11"/>
      <c r="F25" s="11"/>
      <c r="G25" s="12"/>
      <c r="H25" s="12"/>
      <c r="I25" s="12"/>
      <c r="J25" s="11"/>
      <c r="K25" s="25">
        <f>SUM(K23:K24)</f>
        <v>0</v>
      </c>
    </row>
    <row r="26" spans="1:11" x14ac:dyDescent="0.3">
      <c r="A26" s="5"/>
      <c r="B26" s="10" t="s">
        <v>17</v>
      </c>
      <c r="C26" s="19"/>
      <c r="D26" s="12"/>
      <c r="E26" s="11"/>
      <c r="F26" s="11"/>
      <c r="G26" s="12"/>
      <c r="H26" s="12"/>
      <c r="I26" s="12"/>
      <c r="J26" s="11"/>
      <c r="K26" s="25">
        <f>K25*C26</f>
        <v>0</v>
      </c>
    </row>
    <row r="27" spans="1:11" x14ac:dyDescent="0.3">
      <c r="A27" s="5"/>
      <c r="B27" s="10" t="s">
        <v>20</v>
      </c>
      <c r="C27" s="19">
        <v>0.02</v>
      </c>
      <c r="D27" s="12"/>
      <c r="E27" s="11"/>
      <c r="F27" s="11"/>
      <c r="G27" s="12"/>
      <c r="H27" s="12"/>
      <c r="I27" s="12"/>
      <c r="J27" s="11"/>
      <c r="K27" s="25">
        <f>H19*C27</f>
        <v>0</v>
      </c>
    </row>
    <row r="28" spans="1:11" x14ac:dyDescent="0.3">
      <c r="A28" s="5"/>
      <c r="B28" s="13" t="s">
        <v>6</v>
      </c>
      <c r="C28" s="18"/>
      <c r="D28" s="12"/>
      <c r="E28" s="11"/>
      <c r="F28" s="11"/>
      <c r="G28" s="12"/>
      <c r="H28" s="12"/>
      <c r="I28" s="12"/>
      <c r="J28" s="11"/>
      <c r="K28" s="25">
        <f>K27+K26+K25</f>
        <v>0</v>
      </c>
    </row>
    <row r="29" spans="1:11" x14ac:dyDescent="0.3">
      <c r="A29" s="5"/>
      <c r="B29" s="6" t="s">
        <v>15</v>
      </c>
      <c r="C29" s="19">
        <v>0.18</v>
      </c>
      <c r="D29" s="12"/>
      <c r="E29" s="11"/>
      <c r="F29" s="11"/>
      <c r="G29" s="11"/>
      <c r="H29" s="11"/>
      <c r="I29" s="11"/>
      <c r="J29" s="11"/>
      <c r="K29" s="25">
        <f>K28*C29</f>
        <v>0</v>
      </c>
    </row>
    <row r="30" spans="1:11" x14ac:dyDescent="0.3">
      <c r="A30" s="5"/>
      <c r="B30" s="9" t="s">
        <v>16</v>
      </c>
      <c r="C30" s="2"/>
      <c r="D30" s="5"/>
      <c r="E30" s="5"/>
      <c r="F30" s="5"/>
      <c r="G30" s="5"/>
      <c r="H30" s="5"/>
      <c r="I30" s="5"/>
      <c r="J30" s="5"/>
      <c r="K30" s="20">
        <f>K29+K28</f>
        <v>0</v>
      </c>
    </row>
  </sheetData>
  <mergeCells count="16">
    <mergeCell ref="I5:J5"/>
    <mergeCell ref="K5:K6"/>
    <mergeCell ref="A9:A15"/>
    <mergeCell ref="E5:F5"/>
    <mergeCell ref="G5:H5"/>
    <mergeCell ref="A16:A18"/>
    <mergeCell ref="A5:A6"/>
    <mergeCell ref="B5:B6"/>
    <mergeCell ref="C5:C6"/>
    <mergeCell ref="D5:D6"/>
    <mergeCell ref="B1:I1"/>
    <mergeCell ref="J1:K1"/>
    <mergeCell ref="B2:K2"/>
    <mergeCell ref="B3:K3"/>
    <mergeCell ref="F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37"/>
  <sheetViews>
    <sheetView topLeftCell="A13" workbookViewId="0">
      <selection activeCell="C34" sqref="C34"/>
    </sheetView>
  </sheetViews>
  <sheetFormatPr defaultRowHeight="14.4" x14ac:dyDescent="0.3"/>
  <cols>
    <col min="1" max="1" width="4.33203125" customWidth="1"/>
    <col min="2" max="2" width="65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</cols>
  <sheetData>
    <row r="1" spans="1:11" ht="23.25" customHeight="1" x14ac:dyDescent="0.35">
      <c r="A1" s="1"/>
      <c r="B1" s="148" t="s">
        <v>105</v>
      </c>
      <c r="C1" s="148"/>
      <c r="D1" s="148"/>
      <c r="E1" s="148"/>
      <c r="F1" s="148"/>
      <c r="G1" s="148"/>
      <c r="H1" s="148"/>
      <c r="I1" s="148"/>
      <c r="J1" s="151"/>
      <c r="K1" s="151"/>
    </row>
    <row r="2" spans="1:11" ht="18" customHeight="1" x14ac:dyDescent="0.3">
      <c r="A2" s="15"/>
      <c r="B2" s="161" t="s">
        <v>112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6.2" x14ac:dyDescent="0.3">
      <c r="A3" s="15"/>
      <c r="B3" s="162" t="s">
        <v>46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customHeight="1" x14ac:dyDescent="0.3">
      <c r="A4" s="28"/>
      <c r="B4" s="29" t="s">
        <v>122</v>
      </c>
      <c r="C4" s="28"/>
      <c r="D4" s="28"/>
      <c r="E4" s="28"/>
      <c r="F4" s="158" t="s">
        <v>23</v>
      </c>
      <c r="G4" s="158"/>
      <c r="H4" s="158"/>
      <c r="I4" s="152">
        <f>K37</f>
        <v>0</v>
      </c>
      <c r="J4" s="153"/>
      <c r="K4" s="16" t="s">
        <v>10</v>
      </c>
    </row>
    <row r="5" spans="1:11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1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1" x14ac:dyDescent="0.3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7.6" x14ac:dyDescent="0.3">
      <c r="A8" s="171">
        <v>3</v>
      </c>
      <c r="B8" s="34" t="s">
        <v>301</v>
      </c>
      <c r="C8" s="35" t="s">
        <v>8</v>
      </c>
      <c r="D8" s="64">
        <v>455</v>
      </c>
      <c r="E8" s="21"/>
      <c r="F8" s="4"/>
      <c r="G8" s="123"/>
      <c r="H8" s="4"/>
      <c r="I8" s="21"/>
      <c r="J8" s="4"/>
      <c r="K8" s="4"/>
    </row>
    <row r="9" spans="1:11" x14ac:dyDescent="0.3">
      <c r="A9" s="172"/>
      <c r="B9" s="22" t="s">
        <v>47</v>
      </c>
      <c r="C9" s="44" t="s">
        <v>11</v>
      </c>
      <c r="D9" s="12">
        <f>0.4*D8</f>
        <v>182</v>
      </c>
      <c r="E9" s="50"/>
      <c r="F9" s="12"/>
      <c r="G9" s="42"/>
      <c r="H9" s="42"/>
      <c r="I9" s="42"/>
      <c r="J9" s="43"/>
      <c r="K9" s="4"/>
    </row>
    <row r="10" spans="1:11" x14ac:dyDescent="0.3">
      <c r="A10" s="172"/>
      <c r="B10" s="45" t="s">
        <v>52</v>
      </c>
      <c r="C10" s="44" t="s">
        <v>8</v>
      </c>
      <c r="D10" s="12">
        <f>0.009*D8</f>
        <v>4.0949999999999998</v>
      </c>
      <c r="E10" s="50"/>
      <c r="F10" s="12"/>
      <c r="G10" s="42"/>
      <c r="H10" s="42"/>
      <c r="I10" s="42"/>
      <c r="J10" s="43"/>
      <c r="K10" s="4"/>
    </row>
    <row r="11" spans="1:11" x14ac:dyDescent="0.3">
      <c r="A11" s="172"/>
      <c r="B11" s="45" t="s">
        <v>53</v>
      </c>
      <c r="C11" s="44" t="s">
        <v>9</v>
      </c>
      <c r="D11" s="12">
        <f>0.4*D8</f>
        <v>182</v>
      </c>
      <c r="E11" s="50"/>
      <c r="F11" s="12"/>
      <c r="G11" s="42"/>
      <c r="H11" s="42"/>
      <c r="I11" s="42"/>
      <c r="J11" s="43"/>
      <c r="K11" s="4"/>
    </row>
    <row r="12" spans="1:11" x14ac:dyDescent="0.3">
      <c r="A12" s="172"/>
      <c r="B12" s="45" t="s">
        <v>102</v>
      </c>
      <c r="C12" s="44" t="s">
        <v>19</v>
      </c>
      <c r="D12" s="12">
        <v>4</v>
      </c>
      <c r="E12" s="50"/>
      <c r="F12" s="12"/>
      <c r="G12" s="42"/>
      <c r="H12" s="42"/>
      <c r="I12" s="42"/>
      <c r="J12" s="43"/>
      <c r="K12" s="4"/>
    </row>
    <row r="13" spans="1:11" x14ac:dyDescent="0.3">
      <c r="A13" s="172"/>
      <c r="B13" s="45" t="s">
        <v>54</v>
      </c>
      <c r="C13" s="44" t="s">
        <v>9</v>
      </c>
      <c r="D13" s="12">
        <f>0.3*D8</f>
        <v>136.5</v>
      </c>
      <c r="E13" s="50"/>
      <c r="F13" s="12"/>
      <c r="G13" s="42"/>
      <c r="H13" s="42"/>
      <c r="I13" s="42"/>
      <c r="J13" s="43"/>
      <c r="K13" s="4"/>
    </row>
    <row r="14" spans="1:11" x14ac:dyDescent="0.3">
      <c r="A14" s="172"/>
      <c r="B14" s="45" t="s">
        <v>55</v>
      </c>
      <c r="C14" s="44" t="s">
        <v>10</v>
      </c>
      <c r="D14" s="12">
        <f>D8*0.03</f>
        <v>13.65</v>
      </c>
      <c r="E14" s="50"/>
      <c r="F14" s="12"/>
      <c r="G14" s="12"/>
      <c r="H14" s="42"/>
      <c r="I14" s="12"/>
      <c r="J14" s="43"/>
      <c r="K14" s="4"/>
    </row>
    <row r="15" spans="1:11" ht="27.6" x14ac:dyDescent="0.3">
      <c r="A15" s="171">
        <v>4</v>
      </c>
      <c r="B15" s="34" t="s">
        <v>302</v>
      </c>
      <c r="C15" s="35" t="s">
        <v>8</v>
      </c>
      <c r="D15" s="64">
        <v>196</v>
      </c>
      <c r="E15" s="21"/>
      <c r="F15" s="4"/>
      <c r="G15" s="123"/>
      <c r="H15" s="4"/>
      <c r="I15" s="21"/>
      <c r="J15" s="4"/>
      <c r="K15" s="4"/>
    </row>
    <row r="16" spans="1:11" x14ac:dyDescent="0.3">
      <c r="A16" s="172"/>
      <c r="B16" s="22" t="s">
        <v>47</v>
      </c>
      <c r="C16" s="44" t="s">
        <v>11</v>
      </c>
      <c r="D16" s="12">
        <f>0.4*D15</f>
        <v>78.400000000000006</v>
      </c>
      <c r="E16" s="50"/>
      <c r="F16" s="12"/>
      <c r="G16" s="42"/>
      <c r="H16" s="42"/>
      <c r="I16" s="42"/>
      <c r="J16" s="43"/>
      <c r="K16" s="4"/>
    </row>
    <row r="17" spans="1:11" x14ac:dyDescent="0.3">
      <c r="A17" s="172"/>
      <c r="B17" s="45" t="s">
        <v>52</v>
      </c>
      <c r="C17" s="44" t="s">
        <v>8</v>
      </c>
      <c r="D17" s="12">
        <f>0.009*D15</f>
        <v>1.7639999999999998</v>
      </c>
      <c r="E17" s="50"/>
      <c r="F17" s="12"/>
      <c r="G17" s="42"/>
      <c r="H17" s="42"/>
      <c r="I17" s="42"/>
      <c r="J17" s="43"/>
      <c r="K17" s="4"/>
    </row>
    <row r="18" spans="1:11" x14ac:dyDescent="0.3">
      <c r="A18" s="172"/>
      <c r="B18" s="45" t="s">
        <v>102</v>
      </c>
      <c r="C18" s="44" t="s">
        <v>19</v>
      </c>
      <c r="D18" s="12">
        <v>2</v>
      </c>
      <c r="E18" s="50"/>
      <c r="F18" s="12"/>
      <c r="G18" s="42"/>
      <c r="H18" s="42"/>
      <c r="I18" s="42"/>
      <c r="J18" s="43"/>
      <c r="K18" s="4"/>
    </row>
    <row r="19" spans="1:11" x14ac:dyDescent="0.3">
      <c r="A19" s="172"/>
      <c r="B19" s="45" t="s">
        <v>55</v>
      </c>
      <c r="C19" s="44" t="s">
        <v>10</v>
      </c>
      <c r="D19" s="12">
        <f>D15*0.03</f>
        <v>5.88</v>
      </c>
      <c r="E19" s="50"/>
      <c r="F19" s="12"/>
      <c r="G19" s="12"/>
      <c r="H19" s="42"/>
      <c r="I19" s="12"/>
      <c r="J19" s="43"/>
      <c r="K19" s="4"/>
    </row>
    <row r="20" spans="1:11" ht="27.6" x14ac:dyDescent="0.3">
      <c r="A20" s="146">
        <v>5</v>
      </c>
      <c r="B20" s="34" t="s">
        <v>303</v>
      </c>
      <c r="C20" s="35" t="s">
        <v>8</v>
      </c>
      <c r="D20" s="64">
        <f>5.6*2.7*2</f>
        <v>30.24</v>
      </c>
      <c r="E20" s="21"/>
      <c r="F20" s="4"/>
      <c r="G20" s="123"/>
      <c r="H20" s="4"/>
      <c r="I20" s="21"/>
      <c r="J20" s="4"/>
      <c r="K20" s="4"/>
    </row>
    <row r="21" spans="1:11" x14ac:dyDescent="0.3">
      <c r="A21" s="147"/>
      <c r="B21" s="22" t="s">
        <v>47</v>
      </c>
      <c r="C21" s="44" t="s">
        <v>11</v>
      </c>
      <c r="D21" s="12">
        <f>0.4*D20</f>
        <v>12.096</v>
      </c>
      <c r="E21" s="50"/>
      <c r="F21" s="12"/>
      <c r="G21" s="42"/>
      <c r="H21" s="42"/>
      <c r="I21" s="42"/>
      <c r="J21" s="43"/>
      <c r="K21" s="4"/>
    </row>
    <row r="22" spans="1:11" x14ac:dyDescent="0.3">
      <c r="A22" s="147"/>
      <c r="B22" s="45" t="s">
        <v>52</v>
      </c>
      <c r="C22" s="44" t="s">
        <v>8</v>
      </c>
      <c r="D22" s="12">
        <f>0.009*D20</f>
        <v>0.27215999999999996</v>
      </c>
      <c r="E22" s="50"/>
      <c r="F22" s="12"/>
      <c r="G22" s="42"/>
      <c r="H22" s="42"/>
      <c r="I22" s="42"/>
      <c r="J22" s="43"/>
      <c r="K22" s="4"/>
    </row>
    <row r="23" spans="1:11" x14ac:dyDescent="0.3">
      <c r="A23" s="147"/>
      <c r="B23" s="45" t="s">
        <v>53</v>
      </c>
      <c r="C23" s="44" t="s">
        <v>9</v>
      </c>
      <c r="D23" s="12">
        <f>0.4*D20</f>
        <v>12.096</v>
      </c>
      <c r="E23" s="50"/>
      <c r="F23" s="12"/>
      <c r="G23" s="42"/>
      <c r="H23" s="42"/>
      <c r="I23" s="42"/>
      <c r="J23" s="43"/>
      <c r="K23" s="4"/>
    </row>
    <row r="24" spans="1:11" x14ac:dyDescent="0.3">
      <c r="A24" s="119"/>
      <c r="B24" s="45" t="s">
        <v>102</v>
      </c>
      <c r="C24" s="44" t="s">
        <v>19</v>
      </c>
      <c r="D24" s="12">
        <v>1</v>
      </c>
      <c r="E24" s="50"/>
      <c r="F24" s="12"/>
      <c r="G24" s="42"/>
      <c r="H24" s="42"/>
      <c r="I24" s="42"/>
      <c r="J24" s="43"/>
      <c r="K24" s="4"/>
    </row>
    <row r="25" spans="1:11" x14ac:dyDescent="0.3">
      <c r="A25" s="120"/>
      <c r="B25" s="45" t="s">
        <v>55</v>
      </c>
      <c r="C25" s="44" t="s">
        <v>10</v>
      </c>
      <c r="D25" s="12">
        <f>D20*0.03</f>
        <v>0.9071999999999999</v>
      </c>
      <c r="E25" s="50"/>
      <c r="F25" s="12"/>
      <c r="G25" s="12"/>
      <c r="H25" s="42"/>
      <c r="I25" s="12"/>
      <c r="J25" s="43"/>
      <c r="K25" s="4"/>
    </row>
    <row r="26" spans="1:11" x14ac:dyDescent="0.3">
      <c r="A26" s="8"/>
      <c r="B26" s="9" t="s">
        <v>6</v>
      </c>
      <c r="C26" s="9"/>
      <c r="D26" s="9"/>
      <c r="E26" s="9"/>
      <c r="F26" s="27">
        <f>SUM(F8:F25)</f>
        <v>0</v>
      </c>
      <c r="G26" s="27"/>
      <c r="H26" s="27">
        <f>SUM(H8:H25)</f>
        <v>0</v>
      </c>
      <c r="I26" s="27"/>
      <c r="J26" s="27">
        <f>SUM(J8:J25)</f>
        <v>0</v>
      </c>
      <c r="K26" s="27">
        <f>SUM(K8:K25)</f>
        <v>0</v>
      </c>
    </row>
    <row r="27" spans="1:11" x14ac:dyDescent="0.3">
      <c r="A27" s="5"/>
      <c r="B27" s="10" t="s">
        <v>12</v>
      </c>
      <c r="C27" s="19"/>
      <c r="D27" s="12"/>
      <c r="E27" s="11"/>
      <c r="F27" s="12"/>
      <c r="G27" s="12"/>
      <c r="H27" s="12"/>
      <c r="I27" s="12"/>
      <c r="J27" s="11"/>
      <c r="K27" s="25">
        <f>F26*C27</f>
        <v>0</v>
      </c>
    </row>
    <row r="28" spans="1:11" x14ac:dyDescent="0.3">
      <c r="A28" s="5"/>
      <c r="B28" s="13" t="s">
        <v>6</v>
      </c>
      <c r="C28" s="18"/>
      <c r="D28" s="12"/>
      <c r="E28" s="11"/>
      <c r="F28" s="11"/>
      <c r="G28" s="12"/>
      <c r="H28" s="12"/>
      <c r="I28" s="12"/>
      <c r="J28" s="11"/>
      <c r="K28" s="25">
        <f>K27+K26</f>
        <v>0</v>
      </c>
    </row>
    <row r="29" spans="1:11" x14ac:dyDescent="0.3">
      <c r="A29" s="5"/>
      <c r="B29" s="10" t="s">
        <v>13</v>
      </c>
      <c r="C29" s="125"/>
      <c r="D29" s="19"/>
      <c r="E29" s="19"/>
      <c r="F29" s="11"/>
      <c r="G29" s="12"/>
      <c r="H29" s="12"/>
      <c r="I29" s="12"/>
      <c r="J29" s="11"/>
      <c r="K29" s="25">
        <f>K28*C29</f>
        <v>0</v>
      </c>
    </row>
    <row r="30" spans="1:11" x14ac:dyDescent="0.3">
      <c r="A30" s="5"/>
      <c r="B30" s="13" t="s">
        <v>6</v>
      </c>
      <c r="C30" s="18"/>
      <c r="D30" s="12"/>
      <c r="E30" s="11"/>
      <c r="F30" s="11"/>
      <c r="G30" s="12"/>
      <c r="H30" s="12"/>
      <c r="I30" s="12"/>
      <c r="J30" s="11"/>
      <c r="K30" s="25">
        <f>SUM(K28:K29)</f>
        <v>0</v>
      </c>
    </row>
    <row r="31" spans="1:11" x14ac:dyDescent="0.3">
      <c r="A31" s="5"/>
      <c r="B31" s="10" t="s">
        <v>14</v>
      </c>
      <c r="C31" s="125"/>
      <c r="D31" s="12"/>
      <c r="E31" s="11"/>
      <c r="F31" s="11"/>
      <c r="G31" s="12"/>
      <c r="H31" s="12"/>
      <c r="I31" s="12"/>
      <c r="J31" s="11"/>
      <c r="K31" s="25">
        <f>K30*C31</f>
        <v>0</v>
      </c>
    </row>
    <row r="32" spans="1:11" x14ac:dyDescent="0.3">
      <c r="A32" s="5"/>
      <c r="B32" s="13" t="s">
        <v>6</v>
      </c>
      <c r="C32" s="18"/>
      <c r="D32" s="12"/>
      <c r="E32" s="11"/>
      <c r="F32" s="11"/>
      <c r="G32" s="12"/>
      <c r="H32" s="12"/>
      <c r="I32" s="12"/>
      <c r="J32" s="11"/>
      <c r="K32" s="25">
        <f>SUM(K30:K31)</f>
        <v>0</v>
      </c>
    </row>
    <row r="33" spans="1:11" x14ac:dyDescent="0.3">
      <c r="A33" s="5"/>
      <c r="B33" s="10" t="s">
        <v>17</v>
      </c>
      <c r="C33" s="19"/>
      <c r="D33" s="12"/>
      <c r="E33" s="11"/>
      <c r="F33" s="11"/>
      <c r="G33" s="12"/>
      <c r="H33" s="12"/>
      <c r="I33" s="12"/>
      <c r="J33" s="11"/>
      <c r="K33" s="25">
        <f>K32*C33</f>
        <v>0</v>
      </c>
    </row>
    <row r="34" spans="1:11" x14ac:dyDescent="0.3">
      <c r="A34" s="5"/>
      <c r="B34" s="10" t="s">
        <v>20</v>
      </c>
      <c r="C34" s="19">
        <v>0.02</v>
      </c>
      <c r="D34" s="12"/>
      <c r="E34" s="11"/>
      <c r="F34" s="11"/>
      <c r="G34" s="12"/>
      <c r="H34" s="12"/>
      <c r="I34" s="12"/>
      <c r="J34" s="11"/>
      <c r="K34" s="25">
        <f>H26*C34</f>
        <v>0</v>
      </c>
    </row>
    <row r="35" spans="1:11" x14ac:dyDescent="0.3">
      <c r="A35" s="5"/>
      <c r="B35" s="13" t="s">
        <v>6</v>
      </c>
      <c r="C35" s="18"/>
      <c r="D35" s="12"/>
      <c r="E35" s="11"/>
      <c r="F35" s="11"/>
      <c r="G35" s="12"/>
      <c r="H35" s="12"/>
      <c r="I35" s="12"/>
      <c r="J35" s="11"/>
      <c r="K35" s="25">
        <f>K34+K33+K32</f>
        <v>0</v>
      </c>
    </row>
    <row r="36" spans="1:11" x14ac:dyDescent="0.3">
      <c r="A36" s="5"/>
      <c r="B36" s="6" t="s">
        <v>15</v>
      </c>
      <c r="C36" s="19">
        <v>0.18</v>
      </c>
      <c r="D36" s="12"/>
      <c r="E36" s="11"/>
      <c r="F36" s="11"/>
      <c r="G36" s="11"/>
      <c r="H36" s="11"/>
      <c r="I36" s="11"/>
      <c r="J36" s="11"/>
      <c r="K36" s="25">
        <f>K35*C36</f>
        <v>0</v>
      </c>
    </row>
    <row r="37" spans="1:11" x14ac:dyDescent="0.3">
      <c r="A37" s="5"/>
      <c r="B37" s="9" t="s">
        <v>16</v>
      </c>
      <c r="C37" s="2"/>
      <c r="D37" s="5"/>
      <c r="E37" s="5"/>
      <c r="F37" s="5"/>
      <c r="G37" s="5"/>
      <c r="H37" s="5"/>
      <c r="I37" s="5"/>
      <c r="J37" s="5"/>
      <c r="K37" s="20">
        <f>K36+K35</f>
        <v>0</v>
      </c>
    </row>
  </sheetData>
  <mergeCells count="17">
    <mergeCell ref="G5:H5"/>
    <mergeCell ref="A5:A6"/>
    <mergeCell ref="A20:A23"/>
    <mergeCell ref="A8:A14"/>
    <mergeCell ref="A15:A19"/>
    <mergeCell ref="B1:I1"/>
    <mergeCell ref="I5:J5"/>
    <mergeCell ref="J1:K1"/>
    <mergeCell ref="B2:K2"/>
    <mergeCell ref="B3:K3"/>
    <mergeCell ref="F4:H4"/>
    <mergeCell ref="I4:J4"/>
    <mergeCell ref="K5:K6"/>
    <mergeCell ref="B5:B6"/>
    <mergeCell ref="C5:C6"/>
    <mergeCell ref="D5:D6"/>
    <mergeCell ref="E5:F5"/>
  </mergeCells>
  <pageMargins left="0.7" right="0.7" top="0.75" bottom="0.75" header="0.3" footer="0.3"/>
  <ignoredErrors>
    <ignoredError sqref="K30:K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111"/>
  <sheetViews>
    <sheetView topLeftCell="A97" workbookViewId="0">
      <selection activeCell="C108" sqref="C108"/>
    </sheetView>
  </sheetViews>
  <sheetFormatPr defaultRowHeight="14.4" x14ac:dyDescent="0.3"/>
  <cols>
    <col min="1" max="1" width="4.33203125" customWidth="1"/>
    <col min="2" max="2" width="70.5546875" customWidth="1"/>
    <col min="5" max="5" width="8.33203125" customWidth="1"/>
    <col min="6" max="6" width="10.44140625" customWidth="1"/>
    <col min="7" max="7" width="8" customWidth="1"/>
    <col min="8" max="8" width="10.6640625" customWidth="1"/>
    <col min="9" max="9" width="7.5546875" customWidth="1"/>
    <col min="10" max="10" width="10.33203125" customWidth="1"/>
    <col min="11" max="11" width="13.44140625" customWidth="1"/>
    <col min="12" max="12" width="14" customWidth="1"/>
  </cols>
  <sheetData>
    <row r="1" spans="1:13" ht="23.25" customHeight="1" x14ac:dyDescent="0.35">
      <c r="A1" s="1"/>
      <c r="B1" s="148" t="s">
        <v>126</v>
      </c>
      <c r="C1" s="148"/>
      <c r="D1" s="148"/>
      <c r="E1" s="148"/>
      <c r="F1" s="148"/>
      <c r="G1" s="148"/>
      <c r="H1" s="148"/>
      <c r="I1" s="148"/>
      <c r="J1" s="179"/>
      <c r="K1" s="180"/>
    </row>
    <row r="2" spans="1:13" ht="16.2" x14ac:dyDescent="0.3">
      <c r="A2" s="15"/>
      <c r="B2" s="161" t="s">
        <v>127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3" ht="16.2" x14ac:dyDescent="0.3">
      <c r="A3" s="15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3" ht="18" customHeight="1" x14ac:dyDescent="0.3">
      <c r="A4" s="28"/>
      <c r="B4" s="29" t="s">
        <v>128</v>
      </c>
      <c r="C4" s="28"/>
      <c r="D4" s="28"/>
      <c r="E4" s="28"/>
      <c r="F4" s="158" t="s">
        <v>23</v>
      </c>
      <c r="G4" s="158"/>
      <c r="H4" s="158"/>
      <c r="I4" s="152">
        <f>K111</f>
        <v>0</v>
      </c>
      <c r="J4" s="153"/>
      <c r="K4" s="16" t="s">
        <v>10</v>
      </c>
    </row>
    <row r="5" spans="1:13" ht="30" customHeight="1" x14ac:dyDescent="0.3">
      <c r="A5" s="149" t="s">
        <v>18</v>
      </c>
      <c r="B5" s="149" t="s">
        <v>0</v>
      </c>
      <c r="C5" s="149" t="s">
        <v>1</v>
      </c>
      <c r="D5" s="154" t="s">
        <v>2</v>
      </c>
      <c r="E5" s="156" t="s">
        <v>3</v>
      </c>
      <c r="F5" s="157"/>
      <c r="G5" s="156" t="s">
        <v>4</v>
      </c>
      <c r="H5" s="157"/>
      <c r="I5" s="159" t="s">
        <v>5</v>
      </c>
      <c r="J5" s="160"/>
      <c r="K5" s="149" t="s">
        <v>6</v>
      </c>
    </row>
    <row r="6" spans="1:13" ht="27.6" x14ac:dyDescent="0.3">
      <c r="A6" s="150"/>
      <c r="B6" s="150"/>
      <c r="C6" s="150"/>
      <c r="D6" s="155"/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50"/>
    </row>
    <row r="7" spans="1:13" x14ac:dyDescent="0.3">
      <c r="A7" s="81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3" ht="30" customHeight="1" x14ac:dyDescent="0.3">
      <c r="A8" s="176">
        <v>1</v>
      </c>
      <c r="B8" s="14" t="s">
        <v>129</v>
      </c>
      <c r="C8" s="8" t="s">
        <v>19</v>
      </c>
      <c r="D8" s="64">
        <v>14</v>
      </c>
      <c r="E8" s="4"/>
      <c r="F8" s="4"/>
      <c r="G8" s="4"/>
      <c r="H8" s="4"/>
      <c r="I8" s="4"/>
      <c r="J8" s="4"/>
      <c r="K8" s="4"/>
    </row>
    <row r="9" spans="1:13" ht="15" customHeight="1" x14ac:dyDescent="0.3">
      <c r="A9" s="178"/>
      <c r="B9" s="7" t="s">
        <v>130</v>
      </c>
      <c r="C9" s="5" t="s">
        <v>131</v>
      </c>
      <c r="D9" s="4">
        <v>4</v>
      </c>
      <c r="E9" s="4"/>
      <c r="F9" s="4"/>
      <c r="G9" s="4"/>
      <c r="H9" s="4"/>
      <c r="I9" s="4"/>
      <c r="J9" s="4"/>
      <c r="K9" s="4"/>
    </row>
    <row r="10" spans="1:13" ht="15" customHeight="1" x14ac:dyDescent="0.3">
      <c r="A10" s="8">
        <v>2</v>
      </c>
      <c r="B10" s="14" t="s">
        <v>132</v>
      </c>
      <c r="C10" s="8" t="s">
        <v>19</v>
      </c>
      <c r="D10" s="64">
        <v>3</v>
      </c>
      <c r="E10" s="4"/>
      <c r="F10" s="4"/>
      <c r="G10" s="4"/>
      <c r="H10" s="4"/>
      <c r="I10" s="4"/>
      <c r="J10" s="4"/>
      <c r="K10" s="4"/>
    </row>
    <row r="11" spans="1:13" ht="27.6" x14ac:dyDescent="0.3">
      <c r="A11" s="8">
        <v>3</v>
      </c>
      <c r="B11" s="90" t="s">
        <v>133</v>
      </c>
      <c r="C11" s="8" t="s">
        <v>134</v>
      </c>
      <c r="D11" s="64">
        <f>2.5*1.2</f>
        <v>3</v>
      </c>
      <c r="E11" s="4"/>
      <c r="F11" s="4"/>
      <c r="G11" s="4"/>
      <c r="H11" s="4"/>
      <c r="I11" s="4"/>
      <c r="J11" s="4"/>
      <c r="K11" s="4"/>
    </row>
    <row r="12" spans="1:13" ht="27.6" x14ac:dyDescent="0.3">
      <c r="A12" s="8">
        <v>4</v>
      </c>
      <c r="B12" s="90" t="s">
        <v>135</v>
      </c>
      <c r="C12" s="8" t="s">
        <v>9</v>
      </c>
      <c r="D12" s="64">
        <v>23</v>
      </c>
      <c r="E12" s="4"/>
      <c r="F12" s="4"/>
      <c r="G12" s="4"/>
      <c r="H12" s="4"/>
      <c r="I12" s="4"/>
      <c r="J12" s="4"/>
      <c r="K12" s="4"/>
      <c r="L12" s="126"/>
    </row>
    <row r="13" spans="1:13" ht="27.6" x14ac:dyDescent="0.3">
      <c r="A13" s="8">
        <v>5</v>
      </c>
      <c r="B13" s="90" t="s">
        <v>136</v>
      </c>
      <c r="C13" s="8" t="s">
        <v>134</v>
      </c>
      <c r="D13" s="64">
        <v>1.3</v>
      </c>
      <c r="E13" s="4"/>
      <c r="F13" s="4"/>
      <c r="G13" s="4"/>
      <c r="H13" s="4"/>
      <c r="I13" s="4"/>
      <c r="J13" s="4"/>
      <c r="K13" s="4"/>
      <c r="L13" s="127"/>
      <c r="M13" s="128"/>
    </row>
    <row r="14" spans="1:13" x14ac:dyDescent="0.3">
      <c r="A14" s="176">
        <v>6</v>
      </c>
      <c r="B14" s="90" t="s">
        <v>137</v>
      </c>
      <c r="C14" s="8" t="s">
        <v>134</v>
      </c>
      <c r="D14" s="64">
        <v>15</v>
      </c>
      <c r="E14" s="4"/>
      <c r="F14" s="4"/>
      <c r="G14" s="4"/>
      <c r="H14" s="4"/>
      <c r="I14" s="4"/>
      <c r="J14" s="4"/>
      <c r="K14" s="4"/>
    </row>
    <row r="15" spans="1:13" x14ac:dyDescent="0.3">
      <c r="A15" s="177"/>
      <c r="B15" s="23" t="s">
        <v>138</v>
      </c>
      <c r="C15" s="2" t="s">
        <v>10</v>
      </c>
      <c r="D15" s="24">
        <f>0.0759*D14</f>
        <v>1.1384999999999998</v>
      </c>
      <c r="E15" s="24"/>
      <c r="F15" s="24"/>
      <c r="G15" s="24"/>
      <c r="H15" s="4"/>
      <c r="I15" s="24"/>
      <c r="J15" s="4"/>
      <c r="K15" s="4"/>
    </row>
    <row r="16" spans="1:13" x14ac:dyDescent="0.3">
      <c r="A16" s="177"/>
      <c r="B16" s="83" t="s">
        <v>139</v>
      </c>
      <c r="C16" s="5" t="s">
        <v>140</v>
      </c>
      <c r="D16" s="4">
        <f>0.023*D14</f>
        <v>0.34499999999999997</v>
      </c>
      <c r="E16" s="4"/>
      <c r="F16" s="4"/>
      <c r="G16" s="4"/>
      <c r="H16" s="4"/>
      <c r="I16" s="4"/>
      <c r="J16" s="4"/>
      <c r="K16" s="4"/>
    </row>
    <row r="17" spans="1:12" x14ac:dyDescent="0.3">
      <c r="A17" s="177"/>
      <c r="B17" s="83" t="s">
        <v>141</v>
      </c>
      <c r="C17" s="5" t="s">
        <v>19</v>
      </c>
      <c r="D17" s="4">
        <f>12.5*D14</f>
        <v>187.5</v>
      </c>
      <c r="E17" s="4"/>
      <c r="F17" s="4"/>
      <c r="G17" s="4"/>
      <c r="H17" s="4"/>
      <c r="I17" s="4"/>
      <c r="J17" s="4"/>
      <c r="K17" s="4"/>
    </row>
    <row r="18" spans="1:12" x14ac:dyDescent="0.3">
      <c r="A18" s="178"/>
      <c r="B18" s="22" t="s">
        <v>142</v>
      </c>
      <c r="C18" s="61" t="s">
        <v>10</v>
      </c>
      <c r="D18" s="21">
        <f>0.0576*D14</f>
        <v>0.86399999999999999</v>
      </c>
      <c r="E18" s="24"/>
      <c r="F18" s="4"/>
      <c r="G18" s="24"/>
      <c r="H18" s="4"/>
      <c r="I18" s="24"/>
      <c r="J18" s="4"/>
      <c r="K18" s="4"/>
    </row>
    <row r="19" spans="1:12" ht="27.6" x14ac:dyDescent="0.3">
      <c r="A19" s="121">
        <v>7</v>
      </c>
      <c r="B19" s="14" t="s">
        <v>143</v>
      </c>
      <c r="C19" s="8" t="s">
        <v>134</v>
      </c>
      <c r="D19" s="64">
        <v>1.2</v>
      </c>
      <c r="E19" s="4"/>
      <c r="F19" s="4"/>
      <c r="G19" s="4"/>
      <c r="H19" s="4"/>
      <c r="I19" s="4"/>
      <c r="J19" s="4"/>
      <c r="K19" s="4"/>
    </row>
    <row r="20" spans="1:12" ht="27.6" x14ac:dyDescent="0.3">
      <c r="A20" s="121">
        <v>8</v>
      </c>
      <c r="B20" s="90" t="s">
        <v>144</v>
      </c>
      <c r="C20" s="8" t="s">
        <v>134</v>
      </c>
      <c r="D20" s="64">
        <v>5.5</v>
      </c>
      <c r="E20" s="4"/>
      <c r="F20" s="4"/>
      <c r="G20" s="4"/>
      <c r="H20" s="4"/>
      <c r="I20" s="4"/>
      <c r="J20" s="4"/>
      <c r="K20" s="4"/>
      <c r="L20" s="126"/>
    </row>
    <row r="21" spans="1:12" ht="41.4" x14ac:dyDescent="0.3">
      <c r="A21" s="176">
        <v>9</v>
      </c>
      <c r="B21" s="90" t="s">
        <v>145</v>
      </c>
      <c r="C21" s="8" t="s">
        <v>134</v>
      </c>
      <c r="D21" s="64">
        <v>37.5</v>
      </c>
      <c r="E21" s="4"/>
      <c r="F21" s="4"/>
      <c r="G21" s="4"/>
      <c r="H21" s="4"/>
      <c r="I21" s="4"/>
      <c r="J21" s="4"/>
      <c r="K21" s="4"/>
      <c r="L21" s="129"/>
    </row>
    <row r="22" spans="1:12" x14ac:dyDescent="0.3">
      <c r="A22" s="177"/>
      <c r="B22" s="23" t="s">
        <v>146</v>
      </c>
      <c r="C22" s="2" t="s">
        <v>10</v>
      </c>
      <c r="D22" s="24">
        <f>0.23*D21</f>
        <v>8.625</v>
      </c>
      <c r="E22" s="24"/>
      <c r="F22" s="4"/>
      <c r="G22" s="24"/>
      <c r="H22" s="4"/>
      <c r="I22" s="24"/>
      <c r="J22" s="4"/>
      <c r="K22" s="4"/>
    </row>
    <row r="23" spans="1:12" x14ac:dyDescent="0.3">
      <c r="A23" s="177"/>
      <c r="B23" s="23" t="s">
        <v>147</v>
      </c>
      <c r="C23" s="2" t="s">
        <v>21</v>
      </c>
      <c r="D23" s="24">
        <f>D21</f>
        <v>37.5</v>
      </c>
      <c r="E23" s="24"/>
      <c r="F23" s="4"/>
      <c r="G23" s="24"/>
      <c r="H23" s="4"/>
      <c r="I23" s="24"/>
      <c r="J23" s="4"/>
      <c r="K23" s="4"/>
    </row>
    <row r="24" spans="1:12" x14ac:dyDescent="0.3">
      <c r="A24" s="178"/>
      <c r="B24" s="30" t="s">
        <v>148</v>
      </c>
      <c r="C24" s="2" t="s">
        <v>10</v>
      </c>
      <c r="D24" s="24">
        <f>0.3*D21</f>
        <v>11.25</v>
      </c>
      <c r="E24" s="24"/>
      <c r="F24" s="4"/>
      <c r="G24" s="24"/>
      <c r="H24" s="4"/>
      <c r="I24" s="24"/>
      <c r="J24" s="4"/>
      <c r="K24" s="4"/>
    </row>
    <row r="25" spans="1:12" ht="27.6" x14ac:dyDescent="0.3">
      <c r="A25" s="176">
        <v>10</v>
      </c>
      <c r="B25" s="90" t="s">
        <v>149</v>
      </c>
      <c r="C25" s="8" t="s">
        <v>134</v>
      </c>
      <c r="D25" s="64">
        <v>47</v>
      </c>
      <c r="E25" s="4"/>
      <c r="F25" s="4"/>
      <c r="G25" s="4"/>
      <c r="H25" s="4"/>
      <c r="I25" s="4"/>
      <c r="J25" s="4"/>
      <c r="K25" s="4"/>
    </row>
    <row r="26" spans="1:12" x14ac:dyDescent="0.3">
      <c r="A26" s="177"/>
      <c r="B26" s="23" t="s">
        <v>150</v>
      </c>
      <c r="C26" s="2" t="s">
        <v>10</v>
      </c>
      <c r="D26" s="24">
        <f>0.12*D25</f>
        <v>5.64</v>
      </c>
      <c r="E26" s="24"/>
      <c r="F26" s="4"/>
      <c r="G26" s="24"/>
      <c r="H26" s="4"/>
      <c r="I26" s="24"/>
      <c r="J26" s="4"/>
      <c r="K26" s="4"/>
    </row>
    <row r="27" spans="1:12" x14ac:dyDescent="0.3">
      <c r="A27" s="177"/>
      <c r="B27" s="23" t="s">
        <v>151</v>
      </c>
      <c r="C27" s="2" t="s">
        <v>21</v>
      </c>
      <c r="D27" s="24">
        <f>D25</f>
        <v>47</v>
      </c>
      <c r="E27" s="4"/>
      <c r="F27" s="4"/>
      <c r="G27" s="4"/>
      <c r="H27" s="4"/>
      <c r="I27" s="4"/>
      <c r="J27" s="4"/>
      <c r="K27" s="4"/>
    </row>
    <row r="28" spans="1:12" x14ac:dyDescent="0.3">
      <c r="A28" s="177"/>
      <c r="B28" s="23" t="s">
        <v>152</v>
      </c>
      <c r="C28" s="2" t="s">
        <v>21</v>
      </c>
      <c r="D28" s="24">
        <f>D25*2.1</f>
        <v>98.7</v>
      </c>
      <c r="E28" s="4"/>
      <c r="F28" s="4"/>
      <c r="G28" s="4"/>
      <c r="H28" s="4"/>
      <c r="I28" s="4"/>
      <c r="J28" s="4"/>
      <c r="K28" s="4"/>
    </row>
    <row r="29" spans="1:12" x14ac:dyDescent="0.3">
      <c r="A29" s="177"/>
      <c r="B29" s="23" t="s">
        <v>153</v>
      </c>
      <c r="C29" s="2" t="s">
        <v>21</v>
      </c>
      <c r="D29" s="24">
        <f>D25</f>
        <v>47</v>
      </c>
      <c r="E29" s="4"/>
      <c r="F29" s="4"/>
      <c r="G29" s="4"/>
      <c r="H29" s="4"/>
      <c r="I29" s="4"/>
      <c r="J29" s="4"/>
      <c r="K29" s="4"/>
    </row>
    <row r="30" spans="1:12" x14ac:dyDescent="0.3">
      <c r="A30" s="178"/>
      <c r="B30" s="23" t="s">
        <v>154</v>
      </c>
      <c r="C30" s="2" t="s">
        <v>10</v>
      </c>
      <c r="D30" s="24">
        <f>0.164*D25</f>
        <v>7.7080000000000002</v>
      </c>
      <c r="E30" s="4"/>
      <c r="F30" s="4"/>
      <c r="G30" s="4"/>
      <c r="H30" s="4"/>
      <c r="I30" s="4"/>
      <c r="J30" s="4"/>
      <c r="K30" s="4"/>
    </row>
    <row r="31" spans="1:12" ht="27.6" x14ac:dyDescent="0.3">
      <c r="A31" s="176">
        <v>11</v>
      </c>
      <c r="B31" s="90" t="s">
        <v>155</v>
      </c>
      <c r="C31" s="8" t="s">
        <v>134</v>
      </c>
      <c r="D31" s="64">
        <v>46</v>
      </c>
      <c r="E31" s="24"/>
      <c r="F31" s="4"/>
      <c r="G31" s="4"/>
      <c r="H31" s="4"/>
      <c r="I31" s="4"/>
      <c r="J31" s="4"/>
      <c r="K31" s="4"/>
    </row>
    <row r="32" spans="1:12" x14ac:dyDescent="0.3">
      <c r="A32" s="177"/>
      <c r="B32" s="23" t="s">
        <v>156</v>
      </c>
      <c r="C32" s="2" t="s">
        <v>10</v>
      </c>
      <c r="D32" s="24">
        <f>0.0957*D31</f>
        <v>4.4021999999999997</v>
      </c>
      <c r="E32" s="24"/>
      <c r="F32" s="4"/>
      <c r="G32" s="24"/>
      <c r="H32" s="4"/>
      <c r="I32" s="24"/>
      <c r="J32" s="4"/>
      <c r="K32" s="4"/>
    </row>
    <row r="33" spans="1:13" x14ac:dyDescent="0.3">
      <c r="A33" s="177"/>
      <c r="B33" s="23" t="s">
        <v>157</v>
      </c>
      <c r="C33" s="2" t="s">
        <v>21</v>
      </c>
      <c r="D33" s="24">
        <f>D31</f>
        <v>46</v>
      </c>
      <c r="E33" s="4"/>
      <c r="F33" s="4"/>
      <c r="G33" s="4"/>
      <c r="H33" s="4"/>
      <c r="I33" s="4"/>
      <c r="J33" s="4"/>
      <c r="K33" s="4"/>
    </row>
    <row r="34" spans="1:13" x14ac:dyDescent="0.3">
      <c r="A34" s="177"/>
      <c r="B34" s="23" t="s">
        <v>158</v>
      </c>
      <c r="C34" s="2" t="s">
        <v>21</v>
      </c>
      <c r="D34" s="24">
        <f>1.05*D31</f>
        <v>48.300000000000004</v>
      </c>
      <c r="E34" s="4"/>
      <c r="F34" s="4"/>
      <c r="G34" s="4"/>
      <c r="H34" s="4"/>
      <c r="I34" s="4"/>
      <c r="J34" s="4"/>
      <c r="K34" s="4"/>
      <c r="M34" s="130"/>
    </row>
    <row r="35" spans="1:13" x14ac:dyDescent="0.3">
      <c r="A35" s="177"/>
      <c r="B35" s="23" t="s">
        <v>153</v>
      </c>
      <c r="C35" s="2" t="s">
        <v>21</v>
      </c>
      <c r="D35" s="24">
        <f>D31</f>
        <v>46</v>
      </c>
      <c r="E35" s="4"/>
      <c r="F35" s="4"/>
      <c r="G35" s="4"/>
      <c r="H35" s="4"/>
      <c r="I35" s="4"/>
      <c r="J35" s="4"/>
      <c r="K35" s="4"/>
    </row>
    <row r="36" spans="1:13" x14ac:dyDescent="0.3">
      <c r="A36" s="178"/>
      <c r="B36" s="23" t="s">
        <v>159</v>
      </c>
      <c r="C36" s="2" t="s">
        <v>10</v>
      </c>
      <c r="D36" s="24">
        <f>0.122*D31</f>
        <v>5.6120000000000001</v>
      </c>
      <c r="E36" s="4"/>
      <c r="F36" s="4"/>
      <c r="G36" s="4"/>
      <c r="H36" s="4"/>
      <c r="I36" s="4"/>
      <c r="J36" s="4"/>
      <c r="K36" s="4"/>
    </row>
    <row r="37" spans="1:13" x14ac:dyDescent="0.3">
      <c r="A37" s="176">
        <v>12</v>
      </c>
      <c r="B37" s="90" t="s">
        <v>160</v>
      </c>
      <c r="C37" s="8" t="s">
        <v>9</v>
      </c>
      <c r="D37" s="64">
        <v>23.5</v>
      </c>
      <c r="E37" s="4"/>
      <c r="F37" s="4"/>
      <c r="G37" s="4"/>
      <c r="H37" s="4"/>
      <c r="I37" s="4"/>
      <c r="J37" s="4"/>
      <c r="K37" s="4"/>
    </row>
    <row r="38" spans="1:13" x14ac:dyDescent="0.3">
      <c r="A38" s="177"/>
      <c r="B38" s="23" t="s">
        <v>161</v>
      </c>
      <c r="C38" s="2" t="s">
        <v>10</v>
      </c>
      <c r="D38" s="24">
        <f>0.027*D37</f>
        <v>0.63449999999999995</v>
      </c>
      <c r="E38" s="24"/>
      <c r="F38" s="4"/>
      <c r="G38" s="24"/>
      <c r="H38" s="4"/>
      <c r="I38" s="24"/>
      <c r="J38" s="4"/>
      <c r="K38" s="4"/>
    </row>
    <row r="39" spans="1:13" x14ac:dyDescent="0.3">
      <c r="A39" s="177"/>
      <c r="B39" s="23" t="s">
        <v>162</v>
      </c>
      <c r="C39" s="2" t="s">
        <v>9</v>
      </c>
      <c r="D39" s="24">
        <v>27</v>
      </c>
      <c r="E39" s="24"/>
      <c r="F39" s="4"/>
      <c r="G39" s="24"/>
      <c r="H39" s="4"/>
      <c r="I39" s="24"/>
      <c r="J39" s="4"/>
      <c r="K39" s="4"/>
    </row>
    <row r="40" spans="1:13" x14ac:dyDescent="0.3">
      <c r="A40" s="177"/>
      <c r="B40" s="23" t="s">
        <v>163</v>
      </c>
      <c r="C40" s="2" t="s">
        <v>19</v>
      </c>
      <c r="D40" s="24">
        <v>2</v>
      </c>
      <c r="E40" s="24"/>
      <c r="F40" s="4"/>
      <c r="G40" s="24"/>
      <c r="H40" s="4"/>
      <c r="I40" s="24"/>
      <c r="J40" s="4"/>
      <c r="K40" s="4"/>
    </row>
    <row r="41" spans="1:13" x14ac:dyDescent="0.3">
      <c r="A41" s="178"/>
      <c r="B41" s="30" t="s">
        <v>164</v>
      </c>
      <c r="C41" s="2" t="s">
        <v>10</v>
      </c>
      <c r="D41" s="24">
        <f>0.048*D38</f>
        <v>3.0455999999999997E-2</v>
      </c>
      <c r="E41" s="24"/>
      <c r="F41" s="4"/>
      <c r="G41" s="24"/>
      <c r="H41" s="4"/>
      <c r="I41" s="24"/>
      <c r="J41" s="4"/>
      <c r="K41" s="4"/>
    </row>
    <row r="42" spans="1:13" x14ac:dyDescent="0.3">
      <c r="A42" s="176">
        <v>13</v>
      </c>
      <c r="B42" s="90" t="s">
        <v>165</v>
      </c>
      <c r="C42" s="8" t="s">
        <v>9</v>
      </c>
      <c r="D42" s="64">
        <v>27</v>
      </c>
      <c r="E42" s="4"/>
      <c r="F42" s="4"/>
      <c r="G42" s="4"/>
      <c r="H42" s="4"/>
      <c r="I42" s="4"/>
      <c r="J42" s="4"/>
      <c r="K42" s="4"/>
    </row>
    <row r="43" spans="1:13" x14ac:dyDescent="0.3">
      <c r="A43" s="177"/>
      <c r="B43" s="23" t="s">
        <v>166</v>
      </c>
      <c r="C43" s="2" t="s">
        <v>10</v>
      </c>
      <c r="D43" s="24">
        <f>0.0041*D42</f>
        <v>0.11070000000000001</v>
      </c>
      <c r="E43" s="24"/>
      <c r="F43" s="4"/>
      <c r="G43" s="24"/>
      <c r="H43" s="4"/>
      <c r="I43" s="24"/>
      <c r="J43" s="4"/>
      <c r="K43" s="4"/>
    </row>
    <row r="44" spans="1:13" x14ac:dyDescent="0.3">
      <c r="A44" s="177"/>
      <c r="B44" s="23" t="s">
        <v>167</v>
      </c>
      <c r="C44" s="2" t="s">
        <v>9</v>
      </c>
      <c r="D44" s="24">
        <v>27</v>
      </c>
      <c r="E44" s="24"/>
      <c r="F44" s="4"/>
      <c r="G44" s="24"/>
      <c r="H44" s="4"/>
      <c r="I44" s="24"/>
      <c r="J44" s="4"/>
      <c r="K44" s="4"/>
    </row>
    <row r="45" spans="1:13" x14ac:dyDescent="0.3">
      <c r="A45" s="178"/>
      <c r="B45" s="30" t="s">
        <v>168</v>
      </c>
      <c r="C45" s="2" t="s">
        <v>10</v>
      </c>
      <c r="D45" s="24">
        <f>0.078*D42</f>
        <v>2.1059999999999999</v>
      </c>
      <c r="E45" s="24"/>
      <c r="F45" s="4"/>
      <c r="G45" s="24"/>
      <c r="H45" s="4"/>
      <c r="I45" s="24"/>
      <c r="J45" s="4"/>
      <c r="K45" s="4"/>
    </row>
    <row r="46" spans="1:13" ht="27.6" x14ac:dyDescent="0.3">
      <c r="A46" s="8">
        <v>14</v>
      </c>
      <c r="B46" s="90" t="s">
        <v>169</v>
      </c>
      <c r="C46" s="8" t="s">
        <v>134</v>
      </c>
      <c r="D46" s="64">
        <v>0.8</v>
      </c>
      <c r="E46" s="4"/>
      <c r="F46" s="4"/>
      <c r="G46" s="4"/>
      <c r="H46" s="4"/>
      <c r="I46" s="4"/>
      <c r="J46" s="4"/>
      <c r="K46" s="4"/>
    </row>
    <row r="47" spans="1:13" ht="27.6" x14ac:dyDescent="0.3">
      <c r="A47" s="8">
        <v>15</v>
      </c>
      <c r="B47" s="90" t="s">
        <v>170</v>
      </c>
      <c r="C47" s="8" t="s">
        <v>134</v>
      </c>
      <c r="D47" s="64">
        <v>0.8</v>
      </c>
      <c r="E47" s="4"/>
      <c r="F47" s="4"/>
      <c r="G47" s="4"/>
      <c r="H47" s="4"/>
      <c r="I47" s="4"/>
      <c r="J47" s="4"/>
      <c r="K47" s="4"/>
    </row>
    <row r="48" spans="1:13" x14ac:dyDescent="0.3">
      <c r="A48" s="176">
        <v>16</v>
      </c>
      <c r="B48" s="90" t="s">
        <v>171</v>
      </c>
      <c r="C48" s="8" t="s">
        <v>134</v>
      </c>
      <c r="D48" s="64">
        <v>71</v>
      </c>
      <c r="E48" s="4"/>
      <c r="F48" s="4"/>
      <c r="G48" s="4"/>
      <c r="H48" s="4"/>
      <c r="I48" s="4"/>
      <c r="J48" s="4"/>
      <c r="K48" s="4"/>
    </row>
    <row r="49" spans="1:13" x14ac:dyDescent="0.3">
      <c r="A49" s="177"/>
      <c r="B49" s="30" t="s">
        <v>172</v>
      </c>
      <c r="C49" s="2" t="s">
        <v>10</v>
      </c>
      <c r="D49" s="24">
        <f>0.0301*D48</f>
        <v>2.1370999999999998</v>
      </c>
      <c r="E49" s="24"/>
      <c r="F49" s="4"/>
      <c r="G49" s="24"/>
      <c r="H49" s="4"/>
      <c r="I49" s="24"/>
      <c r="J49" s="4"/>
      <c r="K49" s="4"/>
    </row>
    <row r="50" spans="1:13" x14ac:dyDescent="0.3">
      <c r="A50" s="177"/>
      <c r="B50" s="83" t="s">
        <v>173</v>
      </c>
      <c r="C50" s="5" t="s">
        <v>174</v>
      </c>
      <c r="D50" s="4">
        <f>1.015*D48</f>
        <v>72.064999999999998</v>
      </c>
      <c r="E50" s="4"/>
      <c r="F50" s="4"/>
      <c r="G50" s="4"/>
      <c r="H50" s="4"/>
      <c r="I50" s="4"/>
      <c r="J50" s="4"/>
      <c r="K50" s="4"/>
    </row>
    <row r="51" spans="1:13" x14ac:dyDescent="0.3">
      <c r="A51" s="177"/>
      <c r="B51" s="83" t="s">
        <v>175</v>
      </c>
      <c r="C51" s="5" t="s">
        <v>174</v>
      </c>
      <c r="D51" s="4">
        <v>73</v>
      </c>
      <c r="E51" s="4"/>
      <c r="F51" s="4"/>
      <c r="G51" s="4"/>
      <c r="H51" s="4"/>
      <c r="I51" s="4"/>
      <c r="J51" s="4"/>
      <c r="K51" s="4"/>
    </row>
    <row r="52" spans="1:13" x14ac:dyDescent="0.3">
      <c r="A52" s="177"/>
      <c r="B52" s="23" t="s">
        <v>176</v>
      </c>
      <c r="C52" s="2" t="s">
        <v>9</v>
      </c>
      <c r="D52" s="24">
        <f>1.05*D48</f>
        <v>74.55</v>
      </c>
      <c r="E52" s="24"/>
      <c r="F52" s="4"/>
      <c r="G52" s="24"/>
      <c r="H52" s="4"/>
      <c r="I52" s="24"/>
      <c r="J52" s="4"/>
      <c r="K52" s="4"/>
    </row>
    <row r="53" spans="1:13" x14ac:dyDescent="0.3">
      <c r="A53" s="178"/>
      <c r="B53" s="30" t="s">
        <v>177</v>
      </c>
      <c r="C53" s="2" t="s">
        <v>10</v>
      </c>
      <c r="D53" s="24">
        <f>0.107*D50</f>
        <v>7.7109549999999993</v>
      </c>
      <c r="E53" s="24"/>
      <c r="F53" s="4"/>
      <c r="G53" s="24"/>
      <c r="H53" s="4"/>
      <c r="I53" s="24"/>
      <c r="J53" s="4"/>
      <c r="K53" s="4"/>
      <c r="L53" s="126"/>
    </row>
    <row r="54" spans="1:13" ht="27.6" x14ac:dyDescent="0.3">
      <c r="A54" s="176">
        <v>17</v>
      </c>
      <c r="B54" s="90" t="s">
        <v>178</v>
      </c>
      <c r="C54" s="8" t="s">
        <v>134</v>
      </c>
      <c r="D54" s="64">
        <f>D25*2+D31</f>
        <v>140</v>
      </c>
      <c r="E54" s="4"/>
      <c r="F54" s="4"/>
      <c r="G54" s="4"/>
      <c r="H54" s="4"/>
      <c r="I54" s="4"/>
      <c r="J54" s="4"/>
      <c r="K54" s="4"/>
      <c r="L54" s="131"/>
      <c r="M54" s="128"/>
    </row>
    <row r="55" spans="1:13" x14ac:dyDescent="0.3">
      <c r="A55" s="177"/>
      <c r="B55" s="30" t="s">
        <v>179</v>
      </c>
      <c r="C55" s="2" t="s">
        <v>10</v>
      </c>
      <c r="D55" s="24">
        <f>0.02*D54</f>
        <v>2.8000000000000003</v>
      </c>
      <c r="E55" s="24"/>
      <c r="F55" s="4"/>
      <c r="G55" s="24"/>
      <c r="H55" s="4"/>
      <c r="I55" s="24"/>
      <c r="J55" s="4"/>
      <c r="K55" s="4"/>
    </row>
    <row r="56" spans="1:13" x14ac:dyDescent="0.3">
      <c r="A56" s="177"/>
      <c r="B56" s="31" t="s">
        <v>180</v>
      </c>
      <c r="C56" s="17" t="s">
        <v>11</v>
      </c>
      <c r="D56" s="4">
        <f>0.45*D54</f>
        <v>63</v>
      </c>
      <c r="E56" s="4"/>
      <c r="F56" s="4"/>
      <c r="G56" s="4"/>
      <c r="H56" s="4"/>
      <c r="I56" s="4"/>
      <c r="J56" s="4"/>
      <c r="K56" s="4"/>
    </row>
    <row r="57" spans="1:13" x14ac:dyDescent="0.3">
      <c r="A57" s="177"/>
      <c r="B57" s="31" t="s">
        <v>181</v>
      </c>
      <c r="C57" s="17" t="s">
        <v>8</v>
      </c>
      <c r="D57" s="32">
        <f>0.009*D54</f>
        <v>1.26</v>
      </c>
      <c r="E57" s="4"/>
      <c r="F57" s="4"/>
      <c r="G57" s="4"/>
      <c r="H57" s="4"/>
      <c r="I57" s="4"/>
      <c r="J57" s="4"/>
      <c r="K57" s="4"/>
    </row>
    <row r="58" spans="1:13" x14ac:dyDescent="0.3">
      <c r="A58" s="177"/>
      <c r="B58" s="84" t="s">
        <v>182</v>
      </c>
      <c r="C58" s="17" t="s">
        <v>11</v>
      </c>
      <c r="D58" s="4">
        <f>D54*0.4</f>
        <v>56</v>
      </c>
      <c r="E58" s="4"/>
      <c r="F58" s="4"/>
      <c r="G58" s="4"/>
      <c r="H58" s="4"/>
      <c r="I58" s="4"/>
      <c r="J58" s="4"/>
      <c r="K58" s="4"/>
    </row>
    <row r="59" spans="1:13" x14ac:dyDescent="0.3">
      <c r="A59" s="177"/>
      <c r="B59" s="84" t="s">
        <v>183</v>
      </c>
      <c r="C59" s="17" t="s">
        <v>11</v>
      </c>
      <c r="D59" s="4">
        <f>0.12*D54</f>
        <v>16.8</v>
      </c>
      <c r="E59" s="4"/>
      <c r="F59" s="4"/>
      <c r="G59" s="4"/>
      <c r="H59" s="4"/>
      <c r="I59" s="4"/>
      <c r="J59" s="4"/>
      <c r="K59" s="4"/>
    </row>
    <row r="60" spans="1:13" x14ac:dyDescent="0.3">
      <c r="A60" s="177"/>
      <c r="B60" s="3" t="s">
        <v>184</v>
      </c>
      <c r="C60" s="17" t="s">
        <v>9</v>
      </c>
      <c r="D60" s="4">
        <f>0.6*D54</f>
        <v>84</v>
      </c>
      <c r="E60" s="4"/>
      <c r="F60" s="4"/>
      <c r="G60" s="4"/>
      <c r="H60" s="4"/>
      <c r="I60" s="4"/>
      <c r="J60" s="4"/>
      <c r="K60" s="4"/>
    </row>
    <row r="61" spans="1:13" x14ac:dyDescent="0.3">
      <c r="A61" s="177"/>
      <c r="B61" s="3" t="s">
        <v>185</v>
      </c>
      <c r="C61" s="17" t="s">
        <v>9</v>
      </c>
      <c r="D61" s="4">
        <f>0.26*D54</f>
        <v>36.4</v>
      </c>
      <c r="E61" s="4"/>
      <c r="F61" s="4"/>
      <c r="G61" s="4"/>
      <c r="H61" s="4"/>
      <c r="I61" s="4"/>
      <c r="J61" s="4"/>
      <c r="K61" s="4"/>
    </row>
    <row r="62" spans="1:13" x14ac:dyDescent="0.3">
      <c r="A62" s="178"/>
      <c r="B62" s="3" t="s">
        <v>186</v>
      </c>
      <c r="C62" s="17" t="s">
        <v>10</v>
      </c>
      <c r="D62" s="4">
        <f>D54*0.03</f>
        <v>4.2</v>
      </c>
      <c r="E62" s="4"/>
      <c r="F62" s="4"/>
      <c r="G62" s="4"/>
      <c r="H62" s="4"/>
      <c r="I62" s="4"/>
      <c r="J62" s="4"/>
      <c r="K62" s="4"/>
    </row>
    <row r="63" spans="1:13" x14ac:dyDescent="0.3">
      <c r="A63" s="85"/>
      <c r="B63" s="86" t="s">
        <v>187</v>
      </c>
      <c r="C63" s="87"/>
      <c r="D63" s="88"/>
      <c r="E63" s="88"/>
      <c r="F63" s="89"/>
      <c r="G63" s="88"/>
      <c r="H63" s="89"/>
      <c r="I63" s="88"/>
      <c r="J63" s="89"/>
      <c r="K63" s="89"/>
    </row>
    <row r="64" spans="1:13" ht="27.6" x14ac:dyDescent="0.3">
      <c r="A64" s="8">
        <v>18</v>
      </c>
      <c r="B64" s="90" t="s">
        <v>188</v>
      </c>
      <c r="C64" s="8" t="s">
        <v>22</v>
      </c>
      <c r="D64" s="64">
        <v>4</v>
      </c>
      <c r="E64" s="4"/>
      <c r="F64" s="4"/>
      <c r="G64" s="4"/>
      <c r="H64" s="4"/>
      <c r="I64" s="4"/>
      <c r="J64" s="4"/>
      <c r="K64" s="4"/>
    </row>
    <row r="65" spans="1:11" ht="60" customHeight="1" x14ac:dyDescent="0.3">
      <c r="A65" s="8">
        <v>19</v>
      </c>
      <c r="B65" s="14" t="s">
        <v>189</v>
      </c>
      <c r="C65" s="8" t="s">
        <v>22</v>
      </c>
      <c r="D65" s="64">
        <v>4</v>
      </c>
      <c r="E65" s="4"/>
      <c r="F65" s="4"/>
      <c r="G65" s="4"/>
      <c r="H65" s="4"/>
      <c r="I65" s="4"/>
      <c r="J65" s="4"/>
      <c r="K65" s="4"/>
    </row>
    <row r="66" spans="1:11" ht="30" customHeight="1" x14ac:dyDescent="0.3">
      <c r="A66" s="176">
        <v>20</v>
      </c>
      <c r="B66" s="14" t="s">
        <v>190</v>
      </c>
      <c r="C66" s="8" t="s">
        <v>22</v>
      </c>
      <c r="D66" s="64">
        <v>4</v>
      </c>
      <c r="E66" s="4"/>
      <c r="F66" s="4"/>
      <c r="G66" s="4"/>
      <c r="H66" s="4"/>
      <c r="I66" s="4"/>
      <c r="J66" s="4"/>
      <c r="K66" s="4"/>
    </row>
    <row r="67" spans="1:11" ht="15" customHeight="1" x14ac:dyDescent="0.3">
      <c r="A67" s="177"/>
      <c r="B67" s="7" t="s">
        <v>191</v>
      </c>
      <c r="C67" s="5" t="s">
        <v>22</v>
      </c>
      <c r="D67" s="4">
        <v>3</v>
      </c>
      <c r="E67" s="4"/>
      <c r="F67" s="4"/>
      <c r="G67" s="4"/>
      <c r="H67" s="4"/>
      <c r="I67" s="4"/>
      <c r="J67" s="4"/>
      <c r="K67" s="4"/>
    </row>
    <row r="68" spans="1:11" ht="15" customHeight="1" x14ac:dyDescent="0.3">
      <c r="A68" s="177"/>
      <c r="B68" s="7" t="s">
        <v>192</v>
      </c>
      <c r="C68" s="5" t="s">
        <v>22</v>
      </c>
      <c r="D68" s="4">
        <v>1</v>
      </c>
      <c r="E68" s="4"/>
      <c r="F68" s="4"/>
      <c r="G68" s="4"/>
      <c r="H68" s="4"/>
      <c r="I68" s="4"/>
      <c r="J68" s="4"/>
      <c r="K68" s="4"/>
    </row>
    <row r="69" spans="1:11" x14ac:dyDescent="0.3">
      <c r="A69" s="177"/>
      <c r="B69" s="7" t="s">
        <v>130</v>
      </c>
      <c r="C69" s="5" t="s">
        <v>131</v>
      </c>
      <c r="D69" s="4">
        <v>12</v>
      </c>
      <c r="E69" s="4"/>
      <c r="F69" s="4"/>
      <c r="G69" s="4"/>
      <c r="H69" s="4"/>
      <c r="I69" s="4"/>
      <c r="J69" s="4"/>
      <c r="K69" s="4"/>
    </row>
    <row r="70" spans="1:11" x14ac:dyDescent="0.3">
      <c r="A70" s="178"/>
      <c r="B70" s="7" t="s">
        <v>193</v>
      </c>
      <c r="C70" s="5" t="s">
        <v>10</v>
      </c>
      <c r="D70" s="4">
        <v>15</v>
      </c>
      <c r="E70" s="4"/>
      <c r="F70" s="4"/>
      <c r="G70" s="4"/>
      <c r="H70" s="4"/>
      <c r="I70" s="4"/>
      <c r="J70" s="4"/>
      <c r="K70" s="4"/>
    </row>
    <row r="71" spans="1:11" ht="27.6" x14ac:dyDescent="0.3">
      <c r="A71" s="176">
        <v>21</v>
      </c>
      <c r="B71" s="90" t="s">
        <v>194</v>
      </c>
      <c r="C71" s="9" t="s">
        <v>9</v>
      </c>
      <c r="D71" s="64">
        <v>60</v>
      </c>
      <c r="E71" s="4"/>
      <c r="F71" s="4"/>
      <c r="G71" s="4"/>
      <c r="H71" s="4"/>
      <c r="I71" s="4"/>
      <c r="J71" s="4"/>
      <c r="K71" s="4"/>
    </row>
    <row r="72" spans="1:11" x14ac:dyDescent="0.3">
      <c r="A72" s="177"/>
      <c r="B72" s="30" t="s">
        <v>195</v>
      </c>
      <c r="C72" s="2" t="s">
        <v>10</v>
      </c>
      <c r="D72" s="24">
        <f>0.0172*D71</f>
        <v>1.032</v>
      </c>
      <c r="E72" s="24"/>
      <c r="F72" s="4"/>
      <c r="G72" s="24"/>
      <c r="H72" s="4"/>
      <c r="I72" s="24"/>
      <c r="J72" s="4"/>
      <c r="K72" s="4"/>
    </row>
    <row r="73" spans="1:11" x14ac:dyDescent="0.3">
      <c r="A73" s="177"/>
      <c r="B73" s="23" t="s">
        <v>196</v>
      </c>
      <c r="C73" s="2" t="s">
        <v>9</v>
      </c>
      <c r="D73" s="24">
        <v>60</v>
      </c>
      <c r="E73" s="24"/>
      <c r="F73" s="4"/>
      <c r="G73" s="24"/>
      <c r="H73" s="4"/>
      <c r="I73" s="24"/>
      <c r="J73" s="4"/>
      <c r="K73" s="4"/>
    </row>
    <row r="74" spans="1:11" x14ac:dyDescent="0.3">
      <c r="A74" s="177"/>
      <c r="B74" s="23" t="s">
        <v>197</v>
      </c>
      <c r="C74" s="2" t="s">
        <v>19</v>
      </c>
      <c r="D74" s="24">
        <v>4</v>
      </c>
      <c r="E74" s="24"/>
      <c r="F74" s="4"/>
      <c r="G74" s="24"/>
      <c r="H74" s="4"/>
      <c r="I74" s="24"/>
      <c r="J74" s="4"/>
      <c r="K74" s="4"/>
    </row>
    <row r="75" spans="1:11" x14ac:dyDescent="0.3">
      <c r="A75" s="177"/>
      <c r="B75" s="23" t="s">
        <v>198</v>
      </c>
      <c r="C75" s="2" t="s">
        <v>9</v>
      </c>
      <c r="D75" s="24">
        <v>60</v>
      </c>
      <c r="E75" s="24"/>
      <c r="F75" s="4"/>
      <c r="G75" s="24"/>
      <c r="H75" s="4"/>
      <c r="I75" s="24"/>
      <c r="J75" s="4"/>
      <c r="K75" s="4"/>
    </row>
    <row r="76" spans="1:11" x14ac:dyDescent="0.3">
      <c r="A76" s="178"/>
      <c r="B76" s="7" t="s">
        <v>199</v>
      </c>
      <c r="C76" s="5" t="s">
        <v>10</v>
      </c>
      <c r="D76" s="4">
        <f>0.0393*D71</f>
        <v>2.3580000000000001</v>
      </c>
      <c r="E76" s="4"/>
      <c r="F76" s="4"/>
      <c r="G76" s="4"/>
      <c r="H76" s="4"/>
      <c r="I76" s="4"/>
      <c r="J76" s="4"/>
      <c r="K76" s="4"/>
    </row>
    <row r="77" spans="1:11" ht="27.6" x14ac:dyDescent="0.3">
      <c r="A77" s="176">
        <v>22</v>
      </c>
      <c r="B77" s="90" t="s">
        <v>200</v>
      </c>
      <c r="C77" s="8" t="s">
        <v>9</v>
      </c>
      <c r="D77" s="64">
        <v>30</v>
      </c>
      <c r="E77" s="4"/>
      <c r="F77" s="4"/>
      <c r="G77" s="4"/>
      <c r="H77" s="4"/>
      <c r="I77" s="4"/>
      <c r="J77" s="4"/>
      <c r="K77" s="4"/>
    </row>
    <row r="78" spans="1:11" x14ac:dyDescent="0.3">
      <c r="A78" s="177"/>
      <c r="B78" s="30" t="s">
        <v>201</v>
      </c>
      <c r="C78" s="2" t="s">
        <v>10</v>
      </c>
      <c r="D78" s="24">
        <f>0.0257*D77</f>
        <v>0.77100000000000002</v>
      </c>
      <c r="E78" s="24"/>
      <c r="F78" s="4"/>
      <c r="G78" s="24"/>
      <c r="H78" s="4"/>
      <c r="I78" s="24"/>
      <c r="J78" s="4"/>
      <c r="K78" s="4"/>
    </row>
    <row r="79" spans="1:11" x14ac:dyDescent="0.3">
      <c r="A79" s="177"/>
      <c r="B79" s="23" t="s">
        <v>202</v>
      </c>
      <c r="C79" s="2" t="s">
        <v>9</v>
      </c>
      <c r="D79" s="24">
        <v>30</v>
      </c>
      <c r="E79" s="24"/>
      <c r="F79" s="4"/>
      <c r="G79" s="24"/>
      <c r="H79" s="4"/>
      <c r="I79" s="24"/>
      <c r="J79" s="4"/>
      <c r="K79" s="4"/>
    </row>
    <row r="80" spans="1:11" x14ac:dyDescent="0.3">
      <c r="A80" s="177"/>
      <c r="B80" s="23" t="s">
        <v>203</v>
      </c>
      <c r="C80" s="2" t="s">
        <v>9</v>
      </c>
      <c r="D80" s="24">
        <v>20</v>
      </c>
      <c r="E80" s="24"/>
      <c r="F80" s="4"/>
      <c r="G80" s="24"/>
      <c r="H80" s="4"/>
      <c r="I80" s="24"/>
      <c r="J80" s="4"/>
      <c r="K80" s="4"/>
    </row>
    <row r="81" spans="1:12" x14ac:dyDescent="0.3">
      <c r="A81" s="178"/>
      <c r="B81" s="7" t="s">
        <v>204</v>
      </c>
      <c r="C81" s="5" t="s">
        <v>10</v>
      </c>
      <c r="D81" s="4">
        <f>0.0457*D77</f>
        <v>1.371</v>
      </c>
      <c r="E81" s="4"/>
      <c r="F81" s="4"/>
      <c r="G81" s="4"/>
      <c r="H81" s="4"/>
      <c r="I81" s="4"/>
      <c r="J81" s="4"/>
      <c r="K81" s="4"/>
    </row>
    <row r="82" spans="1:12" x14ac:dyDescent="0.3">
      <c r="A82" s="176">
        <v>23</v>
      </c>
      <c r="B82" s="91" t="s">
        <v>205</v>
      </c>
      <c r="C82" s="9" t="s">
        <v>22</v>
      </c>
      <c r="D82" s="92">
        <v>5</v>
      </c>
      <c r="E82" s="24"/>
      <c r="F82" s="4"/>
      <c r="G82" s="24"/>
      <c r="H82" s="4"/>
      <c r="I82" s="24"/>
      <c r="J82" s="4"/>
      <c r="K82" s="4"/>
    </row>
    <row r="83" spans="1:12" x14ac:dyDescent="0.3">
      <c r="A83" s="177"/>
      <c r="B83" s="23" t="s">
        <v>206</v>
      </c>
      <c r="C83" s="2" t="s">
        <v>22</v>
      </c>
      <c r="D83" s="24">
        <v>3</v>
      </c>
      <c r="E83" s="24"/>
      <c r="F83" s="4"/>
      <c r="G83" s="24"/>
      <c r="H83" s="4"/>
      <c r="I83" s="24"/>
      <c r="J83" s="4"/>
      <c r="K83" s="4"/>
    </row>
    <row r="84" spans="1:12" x14ac:dyDescent="0.3">
      <c r="A84" s="177"/>
      <c r="B84" s="23" t="s">
        <v>207</v>
      </c>
      <c r="C84" s="2" t="s">
        <v>22</v>
      </c>
      <c r="D84" s="24">
        <v>2</v>
      </c>
      <c r="E84" s="24"/>
      <c r="F84" s="4"/>
      <c r="G84" s="24"/>
      <c r="H84" s="4"/>
      <c r="I84" s="24"/>
      <c r="J84" s="4"/>
      <c r="K84" s="4"/>
    </row>
    <row r="85" spans="1:12" x14ac:dyDescent="0.3">
      <c r="A85" s="177"/>
      <c r="B85" s="23" t="s">
        <v>208</v>
      </c>
      <c r="C85" s="2" t="s">
        <v>209</v>
      </c>
      <c r="D85" s="24">
        <v>10</v>
      </c>
      <c r="E85" s="24"/>
      <c r="F85" s="4"/>
      <c r="G85" s="24"/>
      <c r="H85" s="4"/>
      <c r="I85" s="24"/>
      <c r="J85" s="4"/>
      <c r="K85" s="4"/>
    </row>
    <row r="86" spans="1:12" x14ac:dyDescent="0.3">
      <c r="A86" s="177"/>
      <c r="B86" s="7" t="s">
        <v>210</v>
      </c>
      <c r="C86" s="5" t="s">
        <v>10</v>
      </c>
      <c r="D86" s="4">
        <f>1.64*D82</f>
        <v>8.1999999999999993</v>
      </c>
      <c r="E86" s="4"/>
      <c r="F86" s="4"/>
      <c r="G86" s="4"/>
      <c r="H86" s="4"/>
      <c r="I86" s="4"/>
      <c r="J86" s="4"/>
      <c r="K86" s="4"/>
    </row>
    <row r="87" spans="1:12" x14ac:dyDescent="0.3">
      <c r="A87" s="8">
        <v>24</v>
      </c>
      <c r="B87" s="91" t="s">
        <v>211</v>
      </c>
      <c r="C87" s="9" t="s">
        <v>19</v>
      </c>
      <c r="D87" s="92">
        <v>45</v>
      </c>
      <c r="E87" s="24"/>
      <c r="F87" s="4"/>
      <c r="G87" s="24"/>
      <c r="H87" s="4"/>
      <c r="I87" s="24"/>
      <c r="J87" s="4"/>
      <c r="K87" s="4"/>
    </row>
    <row r="88" spans="1:12" ht="27.6" x14ac:dyDescent="0.3">
      <c r="A88" s="8">
        <v>25</v>
      </c>
      <c r="B88" s="90" t="s">
        <v>212</v>
      </c>
      <c r="C88" s="8" t="s">
        <v>19</v>
      </c>
      <c r="D88" s="64">
        <v>4</v>
      </c>
      <c r="E88" s="4"/>
      <c r="F88" s="4"/>
      <c r="G88" s="4"/>
      <c r="H88" s="4"/>
      <c r="I88" s="4"/>
      <c r="J88" s="4"/>
      <c r="K88" s="4"/>
    </row>
    <row r="89" spans="1:12" x14ac:dyDescent="0.3">
      <c r="A89" s="85"/>
      <c r="B89" s="86" t="s">
        <v>213</v>
      </c>
      <c r="C89" s="87"/>
      <c r="D89" s="88"/>
      <c r="E89" s="88"/>
      <c r="F89" s="89"/>
      <c r="G89" s="88"/>
      <c r="H89" s="89"/>
      <c r="I89" s="88"/>
      <c r="J89" s="89"/>
      <c r="K89" s="132"/>
      <c r="L89" s="133"/>
    </row>
    <row r="90" spans="1:12" ht="20.100000000000001" customHeight="1" x14ac:dyDescent="0.3">
      <c r="A90" s="8">
        <v>26</v>
      </c>
      <c r="B90" s="93" t="s">
        <v>214</v>
      </c>
      <c r="C90" s="8" t="s">
        <v>19</v>
      </c>
      <c r="D90" s="64">
        <v>7</v>
      </c>
      <c r="E90" s="4"/>
      <c r="F90" s="4"/>
      <c r="G90" s="4"/>
      <c r="H90" s="4"/>
      <c r="I90" s="4"/>
      <c r="J90" s="4"/>
      <c r="K90" s="4"/>
    </row>
    <row r="91" spans="1:12" ht="36" customHeight="1" x14ac:dyDescent="0.3">
      <c r="A91" s="8">
        <v>27</v>
      </c>
      <c r="B91" s="93" t="s">
        <v>285</v>
      </c>
      <c r="C91" s="8" t="s">
        <v>19</v>
      </c>
      <c r="D91" s="64">
        <v>34</v>
      </c>
      <c r="E91" s="4"/>
      <c r="F91" s="4"/>
      <c r="G91" s="4"/>
      <c r="H91" s="4"/>
      <c r="I91" s="4"/>
      <c r="J91" s="4"/>
      <c r="K91" s="4"/>
    </row>
    <row r="92" spans="1:12" ht="20.100000000000001" customHeight="1" x14ac:dyDescent="0.3">
      <c r="A92" s="8">
        <v>28</v>
      </c>
      <c r="B92" s="14" t="s">
        <v>286</v>
      </c>
      <c r="C92" s="8" t="s">
        <v>19</v>
      </c>
      <c r="D92" s="64">
        <v>5</v>
      </c>
      <c r="E92" s="4"/>
      <c r="F92" s="4"/>
      <c r="G92" s="4"/>
      <c r="H92" s="4"/>
      <c r="I92" s="4"/>
      <c r="J92" s="4"/>
      <c r="K92" s="4"/>
    </row>
    <row r="93" spans="1:12" ht="20.100000000000001" customHeight="1" x14ac:dyDescent="0.3">
      <c r="A93" s="8">
        <v>29</v>
      </c>
      <c r="B93" s="94" t="s">
        <v>215</v>
      </c>
      <c r="C93" s="8" t="s">
        <v>19</v>
      </c>
      <c r="D93" s="64">
        <v>36</v>
      </c>
      <c r="E93" s="4"/>
      <c r="F93" s="4"/>
      <c r="G93" s="4"/>
      <c r="H93" s="4"/>
      <c r="I93" s="4"/>
      <c r="J93" s="4"/>
      <c r="K93" s="4"/>
    </row>
    <row r="94" spans="1:12" ht="35.1" customHeight="1" x14ac:dyDescent="0.3">
      <c r="A94" s="8">
        <v>30</v>
      </c>
      <c r="B94" s="14" t="s">
        <v>216</v>
      </c>
      <c r="C94" s="8" t="s">
        <v>9</v>
      </c>
      <c r="D94" s="64">
        <v>150</v>
      </c>
      <c r="E94" s="4"/>
      <c r="F94" s="4"/>
      <c r="G94" s="4"/>
      <c r="H94" s="4"/>
      <c r="I94" s="4"/>
      <c r="J94" s="4"/>
      <c r="K94" s="4"/>
    </row>
    <row r="95" spans="1:12" ht="35.1" customHeight="1" x14ac:dyDescent="0.3">
      <c r="A95" s="8">
        <v>31</v>
      </c>
      <c r="B95" s="14" t="s">
        <v>217</v>
      </c>
      <c r="C95" s="8" t="s">
        <v>9</v>
      </c>
      <c r="D95" s="64">
        <v>200</v>
      </c>
      <c r="E95" s="4"/>
      <c r="F95" s="4"/>
      <c r="G95" s="4"/>
      <c r="H95" s="4"/>
      <c r="I95" s="4"/>
      <c r="J95" s="4"/>
      <c r="K95" s="4"/>
    </row>
    <row r="96" spans="1:12" ht="35.1" customHeight="1" x14ac:dyDescent="0.3">
      <c r="A96" s="8">
        <v>32</v>
      </c>
      <c r="B96" s="14" t="s">
        <v>218</v>
      </c>
      <c r="C96" s="8" t="s">
        <v>9</v>
      </c>
      <c r="D96" s="64">
        <v>45</v>
      </c>
      <c r="E96" s="4"/>
      <c r="F96" s="4"/>
      <c r="G96" s="4"/>
      <c r="H96" s="4"/>
      <c r="I96" s="4"/>
      <c r="J96" s="4"/>
      <c r="K96" s="4"/>
    </row>
    <row r="97" spans="1:11" x14ac:dyDescent="0.3">
      <c r="A97" s="8">
        <v>33</v>
      </c>
      <c r="B97" s="91" t="s">
        <v>219</v>
      </c>
      <c r="C97" s="9" t="s">
        <v>9</v>
      </c>
      <c r="D97" s="92">
        <v>80</v>
      </c>
      <c r="E97" s="24"/>
      <c r="F97" s="4"/>
      <c r="G97" s="24"/>
      <c r="H97" s="4"/>
      <c r="I97" s="24"/>
      <c r="J97" s="4"/>
      <c r="K97" s="4"/>
    </row>
    <row r="98" spans="1:11" s="95" customFormat="1" ht="20.100000000000001" customHeight="1" x14ac:dyDescent="0.3">
      <c r="A98" s="8">
        <v>34</v>
      </c>
      <c r="B98" s="93" t="s">
        <v>220</v>
      </c>
      <c r="C98" s="8" t="s">
        <v>19</v>
      </c>
      <c r="D98" s="64">
        <v>2</v>
      </c>
      <c r="E98" s="4"/>
      <c r="F98" s="4"/>
      <c r="G98" s="4"/>
      <c r="H98" s="4"/>
      <c r="I98" s="4"/>
      <c r="J98" s="4"/>
      <c r="K98" s="4"/>
    </row>
    <row r="99" spans="1:11" s="95" customFormat="1" ht="20.100000000000001" customHeight="1" x14ac:dyDescent="0.3">
      <c r="A99" s="8">
        <v>35</v>
      </c>
      <c r="B99" s="93" t="s">
        <v>193</v>
      </c>
      <c r="C99" s="8" t="s">
        <v>10</v>
      </c>
      <c r="D99" s="64">
        <v>15</v>
      </c>
      <c r="E99" s="4"/>
      <c r="F99" s="4"/>
      <c r="G99" s="4"/>
      <c r="H99" s="4"/>
      <c r="I99" s="4"/>
      <c r="J99" s="4"/>
      <c r="K99" s="4"/>
    </row>
    <row r="100" spans="1:11" x14ac:dyDescent="0.3">
      <c r="A100" s="8"/>
      <c r="B100" s="9" t="s">
        <v>6</v>
      </c>
      <c r="C100" s="9"/>
      <c r="D100" s="9"/>
      <c r="E100" s="9"/>
      <c r="F100" s="27">
        <f>SUM(F16:F99)</f>
        <v>0</v>
      </c>
      <c r="G100" s="27"/>
      <c r="H100" s="27">
        <f>SUM(H16:H99)</f>
        <v>0</v>
      </c>
      <c r="I100" s="27"/>
      <c r="J100" s="27">
        <f>SUM(J16:J99)</f>
        <v>0</v>
      </c>
      <c r="K100" s="27">
        <f>SUM(K16:K99)</f>
        <v>0</v>
      </c>
    </row>
    <row r="101" spans="1:11" x14ac:dyDescent="0.3">
      <c r="A101" s="5"/>
      <c r="B101" s="10" t="s">
        <v>12</v>
      </c>
      <c r="C101" s="19"/>
      <c r="D101" s="12"/>
      <c r="E101" s="11"/>
      <c r="F101" s="12"/>
      <c r="G101" s="12"/>
      <c r="H101" s="12"/>
      <c r="I101" s="12"/>
      <c r="J101" s="11"/>
      <c r="K101" s="25">
        <f>F100*C101</f>
        <v>0</v>
      </c>
    </row>
    <row r="102" spans="1:11" x14ac:dyDescent="0.3">
      <c r="A102" s="5"/>
      <c r="B102" s="13" t="s">
        <v>6</v>
      </c>
      <c r="C102" s="18"/>
      <c r="D102" s="12"/>
      <c r="E102" s="11"/>
      <c r="F102" s="11"/>
      <c r="G102" s="12"/>
      <c r="H102" s="12"/>
      <c r="I102" s="12"/>
      <c r="J102" s="11"/>
      <c r="K102" s="25">
        <f>K101+K100</f>
        <v>0</v>
      </c>
    </row>
    <row r="103" spans="1:11" x14ac:dyDescent="0.3">
      <c r="A103" s="5"/>
      <c r="B103" s="10" t="s">
        <v>13</v>
      </c>
      <c r="C103" s="125"/>
      <c r="D103" s="12"/>
      <c r="E103" s="11"/>
      <c r="F103" s="11"/>
      <c r="G103" s="12"/>
      <c r="H103" s="12"/>
      <c r="I103" s="12"/>
      <c r="J103" s="11"/>
      <c r="K103" s="25">
        <f>K102*C103</f>
        <v>0</v>
      </c>
    </row>
    <row r="104" spans="1:11" x14ac:dyDescent="0.3">
      <c r="A104" s="5"/>
      <c r="B104" s="13" t="s">
        <v>6</v>
      </c>
      <c r="C104" s="18"/>
      <c r="D104" s="12"/>
      <c r="E104" s="11"/>
      <c r="F104" s="11"/>
      <c r="G104" s="12"/>
      <c r="H104" s="12"/>
      <c r="I104" s="12"/>
      <c r="J104" s="11"/>
      <c r="K104" s="25">
        <f>SUM(K102:K103)</f>
        <v>0</v>
      </c>
    </row>
    <row r="105" spans="1:11" x14ac:dyDescent="0.3">
      <c r="A105" s="5"/>
      <c r="B105" s="10" t="s">
        <v>14</v>
      </c>
      <c r="C105" s="125"/>
      <c r="D105" s="12"/>
      <c r="E105" s="11"/>
      <c r="F105" s="11"/>
      <c r="G105" s="12"/>
      <c r="H105" s="12"/>
      <c r="I105" s="12"/>
      <c r="J105" s="11"/>
      <c r="K105" s="25">
        <f>K104*C105</f>
        <v>0</v>
      </c>
    </row>
    <row r="106" spans="1:11" x14ac:dyDescent="0.3">
      <c r="A106" s="5"/>
      <c r="B106" s="13" t="s">
        <v>6</v>
      </c>
      <c r="C106" s="18"/>
      <c r="D106" s="12"/>
      <c r="E106" s="11"/>
      <c r="F106" s="11"/>
      <c r="G106" s="12"/>
      <c r="H106" s="12"/>
      <c r="I106" s="12"/>
      <c r="J106" s="11"/>
      <c r="K106" s="25">
        <f>SUM(K104:K105)</f>
        <v>0</v>
      </c>
    </row>
    <row r="107" spans="1:11" x14ac:dyDescent="0.3">
      <c r="A107" s="5"/>
      <c r="B107" s="10" t="s">
        <v>17</v>
      </c>
      <c r="C107" s="19"/>
      <c r="D107" s="12"/>
      <c r="E107" s="11"/>
      <c r="F107" s="11"/>
      <c r="G107" s="12"/>
      <c r="H107" s="12"/>
      <c r="I107" s="12"/>
      <c r="J107" s="11"/>
      <c r="K107" s="25">
        <f>K106*C107</f>
        <v>0</v>
      </c>
    </row>
    <row r="108" spans="1:11" x14ac:dyDescent="0.3">
      <c r="A108" s="5"/>
      <c r="B108" s="10" t="s">
        <v>20</v>
      </c>
      <c r="C108" s="19">
        <v>0.02</v>
      </c>
      <c r="D108" s="12"/>
      <c r="E108" s="11"/>
      <c r="F108" s="11"/>
      <c r="G108" s="12"/>
      <c r="H108" s="12"/>
      <c r="I108" s="12"/>
      <c r="J108" s="11"/>
      <c r="K108" s="25">
        <f>H100*C108</f>
        <v>0</v>
      </c>
    </row>
    <row r="109" spans="1:11" x14ac:dyDescent="0.3">
      <c r="A109" s="5"/>
      <c r="B109" s="13" t="s">
        <v>6</v>
      </c>
      <c r="C109" s="18"/>
      <c r="D109" s="12"/>
      <c r="E109" s="11"/>
      <c r="F109" s="11"/>
      <c r="G109" s="12"/>
      <c r="H109" s="12"/>
      <c r="I109" s="12"/>
      <c r="J109" s="11"/>
      <c r="K109" s="25">
        <f>K108+K107+K106</f>
        <v>0</v>
      </c>
    </row>
    <row r="110" spans="1:11" x14ac:dyDescent="0.3">
      <c r="A110" s="5"/>
      <c r="B110" s="6" t="s">
        <v>15</v>
      </c>
      <c r="C110" s="19">
        <v>0.18</v>
      </c>
      <c r="D110" s="12"/>
      <c r="E110" s="11"/>
      <c r="F110" s="11"/>
      <c r="G110" s="11"/>
      <c r="H110" s="11"/>
      <c r="I110" s="11"/>
      <c r="J110" s="11"/>
      <c r="K110" s="25">
        <f>K109*C110</f>
        <v>0</v>
      </c>
    </row>
    <row r="111" spans="1:11" x14ac:dyDescent="0.3">
      <c r="A111" s="5"/>
      <c r="B111" s="9" t="s">
        <v>16</v>
      </c>
      <c r="C111" s="2"/>
      <c r="D111" s="5"/>
      <c r="E111" s="5"/>
      <c r="F111" s="5"/>
      <c r="G111" s="5"/>
      <c r="H111" s="5"/>
      <c r="I111" s="5"/>
      <c r="J111" s="5"/>
      <c r="K111" s="20">
        <f>K110+K109</f>
        <v>0</v>
      </c>
    </row>
  </sheetData>
  <mergeCells count="26">
    <mergeCell ref="A21:A24"/>
    <mergeCell ref="B1:I1"/>
    <mergeCell ref="J1:K1"/>
    <mergeCell ref="B2:K3"/>
    <mergeCell ref="F4:H4"/>
    <mergeCell ref="I4:J4"/>
    <mergeCell ref="A5:A6"/>
    <mergeCell ref="B5:B6"/>
    <mergeCell ref="C5:C6"/>
    <mergeCell ref="D5:D6"/>
    <mergeCell ref="E5:F5"/>
    <mergeCell ref="G5:H5"/>
    <mergeCell ref="I5:J5"/>
    <mergeCell ref="K5:K6"/>
    <mergeCell ref="A8:A9"/>
    <mergeCell ref="A14:A18"/>
    <mergeCell ref="A82:A86"/>
    <mergeCell ref="A25:A30"/>
    <mergeCell ref="A31:A36"/>
    <mergeCell ref="A37:A41"/>
    <mergeCell ref="A42:A45"/>
    <mergeCell ref="A48:A53"/>
    <mergeCell ref="A54:A62"/>
    <mergeCell ref="A66:A70"/>
    <mergeCell ref="A71:A76"/>
    <mergeCell ref="A77:A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კრებსითი</vt:lpstr>
      <vt:lpstr>0 სართული</vt:lpstr>
      <vt:lpstr>I სართული</vt:lpstr>
      <vt:lpstr>IIსართული</vt:lpstr>
      <vt:lpstr>IIIსართული</vt:lpstr>
      <vt:lpstr>IVსართული</vt:lpstr>
      <vt:lpstr>Vსართული</vt:lpstr>
      <vt:lpstr>კიბის უჯრედები</vt:lpstr>
      <vt:lpstr>ვერანდის მოწყობა</vt:lpstr>
      <vt:lpstr>ბოქსირებული პალატა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2022-07-28T12:07:59Z</dcterms:modified>
</cp:coreProperties>
</file>